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C0CCE6E9-5846-49EC-A39F-E87E76A385B2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14" l="1"/>
  <c r="AA28" i="14"/>
  <c r="AA27" i="14"/>
  <c r="AA26" i="14"/>
  <c r="AA25" i="14"/>
  <c r="AA24" i="14"/>
  <c r="AA23" i="14"/>
  <c r="AA22" i="14"/>
  <c r="AA21" i="14"/>
  <c r="AA20" i="14"/>
  <c r="AA19" i="14"/>
  <c r="AA18" i="14"/>
  <c r="AA17" i="14"/>
  <c r="AA16" i="14"/>
  <c r="AA15" i="14"/>
  <c r="AA14" i="14"/>
  <c r="AA13" i="14"/>
  <c r="AA12" i="14"/>
  <c r="AA11" i="14"/>
  <c r="AA10" i="14"/>
  <c r="AA9" i="14"/>
  <c r="AA8" i="14"/>
  <c r="AA7" i="14"/>
  <c r="AA6" i="14"/>
  <c r="AA5" i="14"/>
  <c r="AA4" i="14"/>
  <c r="AB4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" i="14"/>
  <c r="E27" i="1"/>
  <c r="F27" i="1" s="1"/>
  <c r="AB19" i="14" l="1"/>
  <c r="AB8" i="14"/>
  <c r="AB20" i="14"/>
  <c r="AB7" i="14"/>
  <c r="AB9" i="14"/>
  <c r="AB21" i="14"/>
  <c r="AB10" i="14"/>
  <c r="AB22" i="14"/>
  <c r="AB11" i="14"/>
  <c r="AB23" i="14"/>
  <c r="AB12" i="14"/>
  <c r="AB24" i="14"/>
  <c r="AB13" i="14"/>
  <c r="AB25" i="14"/>
  <c r="AB14" i="14"/>
  <c r="AB26" i="14"/>
  <c r="AB15" i="14"/>
  <c r="AB27" i="14"/>
  <c r="AB16" i="14"/>
  <c r="AB28" i="14"/>
  <c r="AB5" i="14"/>
  <c r="AB17" i="14"/>
  <c r="AB29" i="14"/>
  <c r="AB6" i="14"/>
  <c r="AB18" i="14"/>
  <c r="M31" i="28"/>
  <c r="D28" i="3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D6" i="28" l="1"/>
  <c r="AD20" i="28"/>
  <c r="AD8" i="28"/>
  <c r="AC20" i="28"/>
  <c r="AC8" i="28"/>
  <c r="AD19" i="28"/>
  <c r="AD7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AC6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E28" i="1" s="1"/>
  <c r="V4" i="14" l="1"/>
  <c r="F28" i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AF4" i="14" l="1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J30" i="14" l="1"/>
  <c r="AF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W4" i="14"/>
  <c r="W5" i="14"/>
  <c r="X29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6" i="20" l="1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<sst xmlns="http://schemas.openxmlformats.org/spreadsheetml/2006/main" count="445" uniqueCount="105">
  <si>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</si>
  <si>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</si>
  <si>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</si>
  <si>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</si>
  <si>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</si>
  <si>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</si>
  <si>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</si>
  <si>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</si>
  <si>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</si>
  <si>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</si>
  <si>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</si>
  <si>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</si>
  <si>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</si>
  <si>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</si>
  <si>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</si>
  <si>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</si>
  <si>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</si>
  <si>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</si>
  <si>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</si>
  <si>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</si>
  <si>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</si>
  <si>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</si>
  <si>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</si>
  <si>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</si>
  <si>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</si>
  <si>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</si>
  <si>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</si>
  <si>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</si>
  <si>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</si>
  <si>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</si>
  <si>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</si>
  <si>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</si>
  <si>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</si>
  <si>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</si>
  <si>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</si>
  <si>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</si>
  <si>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</si>
  <si>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</si>
  <si>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</si>
  <si>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</si>
  <si>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</si>
  <si>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</si>
  <si>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</si>
  <si>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</si>
  <si>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</si>
  <si>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</si>
  <si>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</si>
  <si>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</si>
  <si>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</si>
  <si>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</si>
  <si>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</si>
  <si>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</si>
  <si>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</si>
  <si>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</si>
  <si>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</si>
  <si>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</si>
  <si>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</si>
  <si>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</si>
  <si>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</si>
  <si>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</si>
  <si>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</si>
  <si>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</si>
  <si>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</si>
  <si>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</si>
  <si>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</si>
  <si>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</si>
  <si>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</si>
  <si>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</si>
  <si>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</si>
  <si>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</si>
  <si>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</si>
  <si>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</si>
  <si>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</si>
  <si>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liczba bezrobotnych kobiet stan na 31-03-'25 r.</t>
  </si>
  <si>
    <t>liczba ofert w 03-'25 r.</t>
  </si>
  <si>
    <t>liczba bezrobotnych ogółem stan na 31-03-'25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</si>
  <si>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30-04-'25 r.</t>
    </r>
  </si>
  <si>
    <t>liczba bezrobotnych ogółem stan na 30-04-'24 r.</t>
  </si>
  <si>
    <t>liczba bezrobotnych kobiet stan na 30-04-'25 r.</t>
  </si>
  <si>
    <t>liczba bezrobotnych kobiet stan na 30-04-'24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</si>
  <si>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30-04-'25 r.</t>
    </r>
  </si>
  <si>
    <r>
      <t>liczba bezrobotnych zam. na wsi stan na 30</t>
    </r>
    <r>
      <rPr>
        <sz val="12"/>
        <color theme="1"/>
        <rFont val="Arial"/>
        <family val="2"/>
        <charset val="238"/>
      </rPr>
      <t>-04-'24 r.</t>
    </r>
  </si>
  <si>
    <t>liczba bezrobotnych zam. na wsi stan na 31-03-'25 r.</t>
  </si>
  <si>
    <t>liczba bezrobotnych pow. 12 m-cy stan na 31-03-'25 r.</t>
  </si>
  <si>
    <r>
      <t>liczba bezrobotnych pow. 12 m-cy stan na 30</t>
    </r>
    <r>
      <rPr>
        <sz val="12"/>
        <color theme="1"/>
        <rFont val="Arial"/>
        <family val="2"/>
        <charset val="238"/>
      </rPr>
      <t>-04-'25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</si>
  <si>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30-04-'24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</si>
  <si>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-04-'24 r.</t>
    </r>
  </si>
  <si>
    <t>liczba bezrobotnych do 30 r. ż. stan na 31-03-'25 r.</t>
  </si>
  <si>
    <r>
      <t>liczba bezrobotnych do 30 r. ż. stan na 30</t>
    </r>
    <r>
      <rPr>
        <sz val="12"/>
        <color theme="1"/>
        <rFont val="Arial"/>
        <family val="2"/>
        <charset val="238"/>
      </rPr>
      <t>-04-'25 r.</t>
    </r>
  </si>
  <si>
    <t>liczba bezrobotnych 50+ stan na 31-03-'25 r.</t>
  </si>
  <si>
    <r>
      <t>liczba bezrobotnych 50+ stan na 30</t>
    </r>
    <r>
      <rPr>
        <sz val="12"/>
        <color theme="1"/>
        <rFont val="Arial"/>
        <family val="2"/>
        <charset val="238"/>
      </rPr>
      <t>-04-'25 r.</t>
    </r>
  </si>
  <si>
    <r>
      <t>liczba bezrobotnych 50+ stan na 30</t>
    </r>
    <r>
      <rPr>
        <sz val="12"/>
        <color theme="1"/>
        <rFont val="Arial"/>
        <family val="2"/>
        <charset val="238"/>
      </rPr>
      <t>-04-'24 r.</t>
    </r>
  </si>
  <si>
    <t>liczba ofert w 04-'25 r.</t>
  </si>
  <si>
    <t>liczba ofert w 04-'24 r.</t>
  </si>
  <si>
    <t>podjecia pracy niesubs. I-IV 2025</t>
  </si>
  <si>
    <t>podjecia pracy niesubs. I-IV 2024</t>
  </si>
  <si>
    <t>praca subs. I-IV 2025</t>
  </si>
  <si>
    <t>praca subs. I-IV 2024</t>
  </si>
  <si>
    <t>staże I-IV 2025</t>
  </si>
  <si>
    <t>staże I-IV 2024</t>
  </si>
  <si>
    <t>stan na 30-04-2024</t>
  </si>
  <si>
    <t>stan na 30-04-2025</t>
  </si>
  <si>
    <t>Spadki i wzrosty - liczba bezrobotnych wg powiatów [podkarpackie] w proc. do poprz. m-ca</t>
  </si>
  <si>
    <t>Ranking powiatów o wysokiej i niskiej liczbie osób bezrobotnych</t>
  </si>
  <si>
    <t>Spadki i wzrosty - liczba bezrobotnych wg powiatów [podkarpackie] liczba do poprz. m-ca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</si>
</sst>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1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5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4EC"/>
      <color rgb="FFF8EDEC"/>
      <color rgb="FFF0DAD8"/>
      <color rgb="FFFDE2CB"/>
      <color rgb="FFFFFFCC"/>
      <color rgb="FFFFEE9B"/>
      <color rgb="FFFFCC99"/>
      <color rgb="FFEAF0F6"/>
      <color rgb="FFFFFFFF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stalowowolski</c:v>
                </c:pt>
                <c:pt idx="8">
                  <c:v>dębicki</c:v>
                </c:pt>
                <c:pt idx="9">
                  <c:v>Przemyśl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leżajski</c:v>
                </c:pt>
                <c:pt idx="15">
                  <c:v>niżański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864</c:v>
                </c:pt>
                <c:pt idx="1">
                  <c:v>1013</c:v>
                </c:pt>
                <c:pt idx="2">
                  <c:v>1033</c:v>
                </c:pt>
                <c:pt idx="3">
                  <c:v>1222</c:v>
                </c:pt>
                <c:pt idx="4">
                  <c:v>1536</c:v>
                </c:pt>
                <c:pt idx="5">
                  <c:v>1603</c:v>
                </c:pt>
                <c:pt idx="6">
                  <c:v>1635</c:v>
                </c:pt>
                <c:pt idx="7">
                  <c:v>2206</c:v>
                </c:pt>
                <c:pt idx="8">
                  <c:v>2265</c:v>
                </c:pt>
                <c:pt idx="9">
                  <c:v>2319</c:v>
                </c:pt>
                <c:pt idx="10">
                  <c:v>2409</c:v>
                </c:pt>
                <c:pt idx="11">
                  <c:v>2469</c:v>
                </c:pt>
                <c:pt idx="12">
                  <c:v>2661</c:v>
                </c:pt>
                <c:pt idx="13">
                  <c:v>2855</c:v>
                </c:pt>
                <c:pt idx="14">
                  <c:v>2865</c:v>
                </c:pt>
                <c:pt idx="15">
                  <c:v>2870</c:v>
                </c:pt>
                <c:pt idx="16">
                  <c:v>2987</c:v>
                </c:pt>
                <c:pt idx="17">
                  <c:v>2996</c:v>
                </c:pt>
                <c:pt idx="18">
                  <c:v>3081</c:v>
                </c:pt>
                <c:pt idx="19">
                  <c:v>3322</c:v>
                </c:pt>
                <c:pt idx="20">
                  <c:v>3619</c:v>
                </c:pt>
                <c:pt idx="21">
                  <c:v>4438</c:v>
                </c:pt>
                <c:pt idx="22">
                  <c:v>4600</c:v>
                </c:pt>
                <c:pt idx="23">
                  <c:v>4833</c:v>
                </c:pt>
                <c:pt idx="24">
                  <c:v>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Przemyśl</c:v>
                </c:pt>
                <c:pt idx="4">
                  <c:v>sanocki</c:v>
                </c:pt>
                <c:pt idx="5">
                  <c:v>leski</c:v>
                </c:pt>
                <c:pt idx="6">
                  <c:v>lubaczowski</c:v>
                </c:pt>
                <c:pt idx="7">
                  <c:v>kolbuszowski</c:v>
                </c:pt>
                <c:pt idx="8">
                  <c:v>leżajski</c:v>
                </c:pt>
                <c:pt idx="9">
                  <c:v>Tarnobrzeg</c:v>
                </c:pt>
                <c:pt idx="10">
                  <c:v>łańcucki</c:v>
                </c:pt>
                <c:pt idx="11">
                  <c:v>tarnobrzeski </c:v>
                </c:pt>
                <c:pt idx="12">
                  <c:v>ropczycko-sędziszowski</c:v>
                </c:pt>
                <c:pt idx="13">
                  <c:v>stalowowolski</c:v>
                </c:pt>
                <c:pt idx="14">
                  <c:v>krośnieński</c:v>
                </c:pt>
                <c:pt idx="15">
                  <c:v>Krosno</c:v>
                </c:pt>
                <c:pt idx="16">
                  <c:v>jarosławski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rzeszowski</c:v>
                </c:pt>
                <c:pt idx="20">
                  <c:v>jasielski</c:v>
                </c:pt>
                <c:pt idx="21">
                  <c:v>przeworski</c:v>
                </c:pt>
                <c:pt idx="22">
                  <c:v>dębicki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21</c:v>
                </c:pt>
                <c:pt idx="4">
                  <c:v>33</c:v>
                </c:pt>
                <c:pt idx="5">
                  <c:v>35</c:v>
                </c:pt>
                <c:pt idx="6">
                  <c:v>36</c:v>
                </c:pt>
                <c:pt idx="7">
                  <c:v>38</c:v>
                </c:pt>
                <c:pt idx="8">
                  <c:v>39</c:v>
                </c:pt>
                <c:pt idx="9">
                  <c:v>39</c:v>
                </c:pt>
                <c:pt idx="10">
                  <c:v>41</c:v>
                </c:pt>
                <c:pt idx="11">
                  <c:v>43</c:v>
                </c:pt>
                <c:pt idx="12">
                  <c:v>48</c:v>
                </c:pt>
                <c:pt idx="13">
                  <c:v>49</c:v>
                </c:pt>
                <c:pt idx="14">
                  <c:v>58</c:v>
                </c:pt>
                <c:pt idx="15">
                  <c:v>58</c:v>
                </c:pt>
                <c:pt idx="16">
                  <c:v>62</c:v>
                </c:pt>
                <c:pt idx="17">
                  <c:v>72</c:v>
                </c:pt>
                <c:pt idx="18">
                  <c:v>83</c:v>
                </c:pt>
                <c:pt idx="19">
                  <c:v>90</c:v>
                </c:pt>
                <c:pt idx="20">
                  <c:v>117</c:v>
                </c:pt>
                <c:pt idx="21">
                  <c:v>149</c:v>
                </c:pt>
                <c:pt idx="22">
                  <c:v>176</c:v>
                </c:pt>
                <c:pt idx="23">
                  <c:v>242</c:v>
                </c:pt>
                <c:pt idx="24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 liczba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lubaczowski</c:v>
                </c:pt>
                <c:pt idx="1">
                  <c:v>dębicki</c:v>
                </c:pt>
                <c:pt idx="2">
                  <c:v>bieszczadzki</c:v>
                </c:pt>
                <c:pt idx="3">
                  <c:v>kolbuszowski</c:v>
                </c:pt>
                <c:pt idx="4">
                  <c:v>leżajski</c:v>
                </c:pt>
                <c:pt idx="5">
                  <c:v>jarosławski</c:v>
                </c:pt>
                <c:pt idx="6">
                  <c:v>stalowowolski</c:v>
                </c:pt>
                <c:pt idx="7">
                  <c:v>niżański</c:v>
                </c:pt>
                <c:pt idx="8">
                  <c:v>brzozowski</c:v>
                </c:pt>
                <c:pt idx="9">
                  <c:v>leski</c:v>
                </c:pt>
                <c:pt idx="10">
                  <c:v>sanocki</c:v>
                </c:pt>
                <c:pt idx="11">
                  <c:v>strzyżowski</c:v>
                </c:pt>
                <c:pt idx="12">
                  <c:v>Tarnobrzeg</c:v>
                </c:pt>
                <c:pt idx="13">
                  <c:v>jasielski</c:v>
                </c:pt>
                <c:pt idx="14">
                  <c:v>łańcucki</c:v>
                </c:pt>
                <c:pt idx="15">
                  <c:v>województwo</c:v>
                </c:pt>
                <c:pt idx="16">
                  <c:v>ropczycko-sędziszowski</c:v>
                </c:pt>
                <c:pt idx="17">
                  <c:v>krośnieński</c:v>
                </c:pt>
                <c:pt idx="18">
                  <c:v>mielecki</c:v>
                </c:pt>
                <c:pt idx="19">
                  <c:v>przemyski</c:v>
                </c:pt>
                <c:pt idx="20">
                  <c:v>tarnobrzeski </c:v>
                </c:pt>
                <c:pt idx="21">
                  <c:v>Krosno</c:v>
                </c:pt>
                <c:pt idx="22">
                  <c:v>przeworski</c:v>
                </c:pt>
                <c:pt idx="23">
                  <c:v>Przemyśl</c:v>
                </c:pt>
                <c:pt idx="24">
                  <c:v>rzeszowski</c:v>
                </c:pt>
                <c:pt idx="25">
                  <c:v>Rzeszów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-6.1475409836065573</c:v>
                </c:pt>
                <c:pt idx="1">
                  <c:v>-5.8994599085999164</c:v>
                </c:pt>
                <c:pt idx="2">
                  <c:v>-5.6621004566210047</c:v>
                </c:pt>
                <c:pt idx="3">
                  <c:v>-5.476923076923077</c:v>
                </c:pt>
                <c:pt idx="4">
                  <c:v>-4.8172757475083063</c:v>
                </c:pt>
                <c:pt idx="5">
                  <c:v>-4.4152487615765672</c:v>
                </c:pt>
                <c:pt idx="6">
                  <c:v>-4.2534722222222223</c:v>
                </c:pt>
                <c:pt idx="7">
                  <c:v>-4.2375709042375709</c:v>
                </c:pt>
                <c:pt idx="8">
                  <c:v>-4.0816326530612246</c:v>
                </c:pt>
                <c:pt idx="9">
                  <c:v>-3.8800705467372132</c:v>
                </c:pt>
                <c:pt idx="10">
                  <c:v>-3.5518243461414274</c:v>
                </c:pt>
                <c:pt idx="11">
                  <c:v>-3.3860045146726865</c:v>
                </c:pt>
                <c:pt idx="12">
                  <c:v>-3.3396946564885495</c:v>
                </c:pt>
                <c:pt idx="13">
                  <c:v>-3.2626100880704563</c:v>
                </c:pt>
                <c:pt idx="14">
                  <c:v>-3.2523510971786838</c:v>
                </c:pt>
                <c:pt idx="15">
                  <c:v>-3.2202923324303572</c:v>
                </c:pt>
                <c:pt idx="16">
                  <c:v>-2.9186428310835462</c:v>
                </c:pt>
                <c:pt idx="17">
                  <c:v>-2.8237192416296892</c:v>
                </c:pt>
                <c:pt idx="18">
                  <c:v>-2.6847757422615288</c:v>
                </c:pt>
                <c:pt idx="19">
                  <c:v>-2.5597269624573378</c:v>
                </c:pt>
                <c:pt idx="20">
                  <c:v>-2.4740622505985637</c:v>
                </c:pt>
                <c:pt idx="21">
                  <c:v>-2.0408163265306123</c:v>
                </c:pt>
                <c:pt idx="22">
                  <c:v>-2.0347979946918313</c:v>
                </c:pt>
                <c:pt idx="23">
                  <c:v>-1.5286624203821657</c:v>
                </c:pt>
                <c:pt idx="24">
                  <c:v>-1.0752688172043012</c:v>
                </c:pt>
                <c:pt idx="25">
                  <c:v>-0.39009167154281255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kolbuszowski</c:v>
                </c:pt>
                <c:pt idx="6">
                  <c:v>leski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niżański</c:v>
                </c:pt>
                <c:pt idx="15">
                  <c:v>sanocki</c:v>
                </c:pt>
                <c:pt idx="16">
                  <c:v>leżajski</c:v>
                </c:pt>
                <c:pt idx="17">
                  <c:v>mielecki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463</c:v>
                </c:pt>
                <c:pt idx="1">
                  <c:v>484</c:v>
                </c:pt>
                <c:pt idx="2">
                  <c:v>507</c:v>
                </c:pt>
                <c:pt idx="3">
                  <c:v>600</c:v>
                </c:pt>
                <c:pt idx="4">
                  <c:v>703</c:v>
                </c:pt>
                <c:pt idx="5">
                  <c:v>725</c:v>
                </c:pt>
                <c:pt idx="6">
                  <c:v>766</c:v>
                </c:pt>
                <c:pt idx="7">
                  <c:v>1052</c:v>
                </c:pt>
                <c:pt idx="8">
                  <c:v>1109</c:v>
                </c:pt>
                <c:pt idx="9">
                  <c:v>1145</c:v>
                </c:pt>
                <c:pt idx="10">
                  <c:v>1314</c:v>
                </c:pt>
                <c:pt idx="11">
                  <c:v>1322</c:v>
                </c:pt>
                <c:pt idx="12">
                  <c:v>1357</c:v>
                </c:pt>
                <c:pt idx="13">
                  <c:v>1366</c:v>
                </c:pt>
                <c:pt idx="14">
                  <c:v>1439</c:v>
                </c:pt>
                <c:pt idx="15">
                  <c:v>1446</c:v>
                </c:pt>
                <c:pt idx="16">
                  <c:v>1455</c:v>
                </c:pt>
                <c:pt idx="17">
                  <c:v>1463</c:v>
                </c:pt>
                <c:pt idx="18">
                  <c:v>1466</c:v>
                </c:pt>
                <c:pt idx="19">
                  <c:v>1709</c:v>
                </c:pt>
                <c:pt idx="20">
                  <c:v>1779</c:v>
                </c:pt>
                <c:pt idx="21">
                  <c:v>2137</c:v>
                </c:pt>
                <c:pt idx="22">
                  <c:v>2248</c:v>
                </c:pt>
                <c:pt idx="23">
                  <c:v>2530</c:v>
                </c:pt>
                <c:pt idx="24">
                  <c:v>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ropczycko-sędziszowski</c:v>
                </c:pt>
                <c:pt idx="9">
                  <c:v>sanocki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654</c:v>
                </c:pt>
                <c:pt idx="1">
                  <c:v>852</c:v>
                </c:pt>
                <c:pt idx="2">
                  <c:v>1006</c:v>
                </c:pt>
                <c:pt idx="3">
                  <c:v>1056</c:v>
                </c:pt>
                <c:pt idx="4">
                  <c:v>1332</c:v>
                </c:pt>
                <c:pt idx="5">
                  <c:v>1347</c:v>
                </c:pt>
                <c:pt idx="6">
                  <c:v>1348</c:v>
                </c:pt>
                <c:pt idx="7">
                  <c:v>1533</c:v>
                </c:pt>
                <c:pt idx="8">
                  <c:v>1715</c:v>
                </c:pt>
                <c:pt idx="9">
                  <c:v>1764</c:v>
                </c:pt>
                <c:pt idx="10">
                  <c:v>1893</c:v>
                </c:pt>
                <c:pt idx="11">
                  <c:v>1928</c:v>
                </c:pt>
                <c:pt idx="12">
                  <c:v>2180</c:v>
                </c:pt>
                <c:pt idx="13">
                  <c:v>2181</c:v>
                </c:pt>
                <c:pt idx="14">
                  <c:v>2476</c:v>
                </c:pt>
                <c:pt idx="15">
                  <c:v>2683</c:v>
                </c:pt>
                <c:pt idx="16">
                  <c:v>2749</c:v>
                </c:pt>
                <c:pt idx="17">
                  <c:v>2777</c:v>
                </c:pt>
                <c:pt idx="18">
                  <c:v>3326</c:v>
                </c:pt>
                <c:pt idx="19">
                  <c:v>3420</c:v>
                </c:pt>
                <c:pt idx="20">
                  <c:v>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stalowowolski</c:v>
                </c:pt>
                <c:pt idx="7">
                  <c:v>dębicki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347</c:v>
                </c:pt>
                <c:pt idx="1">
                  <c:v>532</c:v>
                </c:pt>
                <c:pt idx="2">
                  <c:v>613</c:v>
                </c:pt>
                <c:pt idx="3">
                  <c:v>639</c:v>
                </c:pt>
                <c:pt idx="4">
                  <c:v>762</c:v>
                </c:pt>
                <c:pt idx="5">
                  <c:v>840</c:v>
                </c:pt>
                <c:pt idx="6">
                  <c:v>930</c:v>
                </c:pt>
                <c:pt idx="7">
                  <c:v>942</c:v>
                </c:pt>
                <c:pt idx="8">
                  <c:v>1042</c:v>
                </c:pt>
                <c:pt idx="9">
                  <c:v>1069</c:v>
                </c:pt>
                <c:pt idx="10">
                  <c:v>1188</c:v>
                </c:pt>
                <c:pt idx="11">
                  <c:v>1443</c:v>
                </c:pt>
                <c:pt idx="12">
                  <c:v>1445</c:v>
                </c:pt>
                <c:pt idx="13">
                  <c:v>1517</c:v>
                </c:pt>
                <c:pt idx="14">
                  <c:v>1570</c:v>
                </c:pt>
                <c:pt idx="15">
                  <c:v>1640</c:v>
                </c:pt>
                <c:pt idx="16">
                  <c:v>1649</c:v>
                </c:pt>
                <c:pt idx="17">
                  <c:v>1688</c:v>
                </c:pt>
                <c:pt idx="18">
                  <c:v>1850</c:v>
                </c:pt>
                <c:pt idx="19">
                  <c:v>1960</c:v>
                </c:pt>
                <c:pt idx="20">
                  <c:v>2326</c:v>
                </c:pt>
                <c:pt idx="21">
                  <c:v>2436</c:v>
                </c:pt>
                <c:pt idx="22">
                  <c:v>2540</c:v>
                </c:pt>
                <c:pt idx="23">
                  <c:v>2885</c:v>
                </c:pt>
                <c:pt idx="24">
                  <c:v>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przemyski</c:v>
                </c:pt>
                <c:pt idx="14">
                  <c:v>leżajski</c:v>
                </c:pt>
                <c:pt idx="15">
                  <c:v>strzyżowski</c:v>
                </c:pt>
                <c:pt idx="16">
                  <c:v>sanocki</c:v>
                </c:pt>
                <c:pt idx="17">
                  <c:v>mielecki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174</c:v>
                </c:pt>
                <c:pt idx="1">
                  <c:v>204</c:v>
                </c:pt>
                <c:pt idx="2">
                  <c:v>260</c:v>
                </c:pt>
                <c:pt idx="3">
                  <c:v>315</c:v>
                </c:pt>
                <c:pt idx="4">
                  <c:v>411</c:v>
                </c:pt>
                <c:pt idx="5">
                  <c:v>424</c:v>
                </c:pt>
                <c:pt idx="6">
                  <c:v>443</c:v>
                </c:pt>
                <c:pt idx="7">
                  <c:v>461</c:v>
                </c:pt>
                <c:pt idx="8">
                  <c:v>579</c:v>
                </c:pt>
                <c:pt idx="9">
                  <c:v>589</c:v>
                </c:pt>
                <c:pt idx="10">
                  <c:v>716</c:v>
                </c:pt>
                <c:pt idx="11">
                  <c:v>716</c:v>
                </c:pt>
                <c:pt idx="12">
                  <c:v>743</c:v>
                </c:pt>
                <c:pt idx="13">
                  <c:v>748</c:v>
                </c:pt>
                <c:pt idx="14">
                  <c:v>780</c:v>
                </c:pt>
                <c:pt idx="15">
                  <c:v>789</c:v>
                </c:pt>
                <c:pt idx="16">
                  <c:v>792</c:v>
                </c:pt>
                <c:pt idx="17">
                  <c:v>793</c:v>
                </c:pt>
                <c:pt idx="18">
                  <c:v>819</c:v>
                </c:pt>
                <c:pt idx="19">
                  <c:v>898</c:v>
                </c:pt>
                <c:pt idx="20">
                  <c:v>975</c:v>
                </c:pt>
                <c:pt idx="21">
                  <c:v>980</c:v>
                </c:pt>
                <c:pt idx="22">
                  <c:v>1129</c:v>
                </c:pt>
                <c:pt idx="23">
                  <c:v>1239</c:v>
                </c:pt>
                <c:pt idx="24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leżajski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Przemyśl</c:v>
                </c:pt>
                <c:pt idx="16">
                  <c:v>przemyski</c:v>
                </c:pt>
                <c:pt idx="17">
                  <c:v>przeworski</c:v>
                </c:pt>
                <c:pt idx="18">
                  <c:v>mielecki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214</c:v>
                </c:pt>
                <c:pt idx="1">
                  <c:v>243</c:v>
                </c:pt>
                <c:pt idx="2">
                  <c:v>293</c:v>
                </c:pt>
                <c:pt idx="3">
                  <c:v>352</c:v>
                </c:pt>
                <c:pt idx="4">
                  <c:v>414</c:v>
                </c:pt>
                <c:pt idx="5">
                  <c:v>440</c:v>
                </c:pt>
                <c:pt idx="6">
                  <c:v>446</c:v>
                </c:pt>
                <c:pt idx="7">
                  <c:v>526</c:v>
                </c:pt>
                <c:pt idx="8">
                  <c:v>548</c:v>
                </c:pt>
                <c:pt idx="9">
                  <c:v>571</c:v>
                </c:pt>
                <c:pt idx="10">
                  <c:v>592</c:v>
                </c:pt>
                <c:pt idx="11">
                  <c:v>666</c:v>
                </c:pt>
                <c:pt idx="12">
                  <c:v>677</c:v>
                </c:pt>
                <c:pt idx="13">
                  <c:v>687</c:v>
                </c:pt>
                <c:pt idx="14">
                  <c:v>694</c:v>
                </c:pt>
                <c:pt idx="15">
                  <c:v>698</c:v>
                </c:pt>
                <c:pt idx="16">
                  <c:v>738</c:v>
                </c:pt>
                <c:pt idx="17">
                  <c:v>756</c:v>
                </c:pt>
                <c:pt idx="18">
                  <c:v>760</c:v>
                </c:pt>
                <c:pt idx="19">
                  <c:v>767</c:v>
                </c:pt>
                <c:pt idx="20">
                  <c:v>873</c:v>
                </c:pt>
                <c:pt idx="21">
                  <c:v>1100</c:v>
                </c:pt>
                <c:pt idx="22">
                  <c:v>1116</c:v>
                </c:pt>
                <c:pt idx="23">
                  <c:v>1125</c:v>
                </c:pt>
                <c:pt idx="24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przemyski</c:v>
                </c:pt>
                <c:pt idx="3">
                  <c:v>Przemyśl</c:v>
                </c:pt>
                <c:pt idx="4">
                  <c:v>Tarnobrzeg</c:v>
                </c:pt>
                <c:pt idx="5">
                  <c:v>kolbuszowski</c:v>
                </c:pt>
                <c:pt idx="6">
                  <c:v>tarnobrzeski </c:v>
                </c:pt>
                <c:pt idx="7">
                  <c:v>lubaczowski</c:v>
                </c:pt>
                <c:pt idx="8">
                  <c:v>łańcucki</c:v>
                </c:pt>
                <c:pt idx="9">
                  <c:v>krośnieński</c:v>
                </c:pt>
                <c:pt idx="10">
                  <c:v>brzozowski</c:v>
                </c:pt>
                <c:pt idx="11">
                  <c:v>niżański</c:v>
                </c:pt>
                <c:pt idx="12">
                  <c:v>Krosno</c:v>
                </c:pt>
                <c:pt idx="13">
                  <c:v>stalowowolski</c:v>
                </c:pt>
                <c:pt idx="14">
                  <c:v>ropczycko-sędziszowski</c:v>
                </c:pt>
                <c:pt idx="15">
                  <c:v>sanocki</c:v>
                </c:pt>
                <c:pt idx="16">
                  <c:v>jarosławski</c:v>
                </c:pt>
                <c:pt idx="17">
                  <c:v>rzeszowski</c:v>
                </c:pt>
                <c:pt idx="18">
                  <c:v>leżajski</c:v>
                </c:pt>
                <c:pt idx="19">
                  <c:v>strzyżowski</c:v>
                </c:pt>
                <c:pt idx="20">
                  <c:v>dębicki</c:v>
                </c:pt>
                <c:pt idx="21">
                  <c:v>przeworski</c:v>
                </c:pt>
                <c:pt idx="22">
                  <c:v>mielecki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11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48</c:v>
                </c:pt>
                <c:pt idx="5">
                  <c:v>65</c:v>
                </c:pt>
                <c:pt idx="6">
                  <c:v>65</c:v>
                </c:pt>
                <c:pt idx="7">
                  <c:v>68</c:v>
                </c:pt>
                <c:pt idx="8">
                  <c:v>74</c:v>
                </c:pt>
                <c:pt idx="9">
                  <c:v>78</c:v>
                </c:pt>
                <c:pt idx="10">
                  <c:v>79</c:v>
                </c:pt>
                <c:pt idx="11">
                  <c:v>84</c:v>
                </c:pt>
                <c:pt idx="12">
                  <c:v>86</c:v>
                </c:pt>
                <c:pt idx="13">
                  <c:v>96</c:v>
                </c:pt>
                <c:pt idx="14">
                  <c:v>98</c:v>
                </c:pt>
                <c:pt idx="15">
                  <c:v>98</c:v>
                </c:pt>
                <c:pt idx="16">
                  <c:v>134</c:v>
                </c:pt>
                <c:pt idx="17">
                  <c:v>146</c:v>
                </c:pt>
                <c:pt idx="18">
                  <c:v>148</c:v>
                </c:pt>
                <c:pt idx="19">
                  <c:v>188</c:v>
                </c:pt>
                <c:pt idx="20">
                  <c:v>230</c:v>
                </c:pt>
                <c:pt idx="21">
                  <c:v>245</c:v>
                </c:pt>
                <c:pt idx="22">
                  <c:v>257</c:v>
                </c:pt>
                <c:pt idx="23">
                  <c:v>269</c:v>
                </c:pt>
                <c:pt idx="24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bieszczadzki</c:v>
                </c:pt>
                <c:pt idx="1">
                  <c:v>tarnobrzeski </c:v>
                </c:pt>
                <c:pt idx="2">
                  <c:v>łańcucki</c:v>
                </c:pt>
                <c:pt idx="3">
                  <c:v>krośnieński</c:v>
                </c:pt>
                <c:pt idx="4">
                  <c:v>leski</c:v>
                </c:pt>
                <c:pt idx="5">
                  <c:v>Przemyśl</c:v>
                </c:pt>
                <c:pt idx="6">
                  <c:v>przemyski</c:v>
                </c:pt>
                <c:pt idx="7">
                  <c:v>Tarnobrzeg</c:v>
                </c:pt>
                <c:pt idx="8">
                  <c:v>kolbuszowski</c:v>
                </c:pt>
                <c:pt idx="9">
                  <c:v>Krosno</c:v>
                </c:pt>
                <c:pt idx="10">
                  <c:v>Rzeszów</c:v>
                </c:pt>
                <c:pt idx="11">
                  <c:v>dębicki</c:v>
                </c:pt>
                <c:pt idx="12">
                  <c:v>lubaczowski</c:v>
                </c:pt>
                <c:pt idx="13">
                  <c:v>rzeszowski</c:v>
                </c:pt>
                <c:pt idx="14">
                  <c:v>sanocki</c:v>
                </c:pt>
                <c:pt idx="15">
                  <c:v>stalowowolski</c:v>
                </c:pt>
                <c:pt idx="16">
                  <c:v>niżański</c:v>
                </c:pt>
                <c:pt idx="17">
                  <c:v>ropczycko-sędziszowski</c:v>
                </c:pt>
                <c:pt idx="18">
                  <c:v>brzozowski</c:v>
                </c:pt>
                <c:pt idx="19">
                  <c:v>jarosławski</c:v>
                </c:pt>
                <c:pt idx="20">
                  <c:v>strzyżowski</c:v>
                </c:pt>
                <c:pt idx="21">
                  <c:v>mielecki</c:v>
                </c:pt>
                <c:pt idx="22">
                  <c:v>przeworski</c:v>
                </c:pt>
                <c:pt idx="23">
                  <c:v>jasielski</c:v>
                </c:pt>
                <c:pt idx="24">
                  <c:v>leżajski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9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36</c:v>
                </c:pt>
                <c:pt idx="7">
                  <c:v>36</c:v>
                </c:pt>
                <c:pt idx="8">
                  <c:v>43</c:v>
                </c:pt>
                <c:pt idx="9">
                  <c:v>44</c:v>
                </c:pt>
                <c:pt idx="10">
                  <c:v>50</c:v>
                </c:pt>
                <c:pt idx="11">
                  <c:v>53</c:v>
                </c:pt>
                <c:pt idx="12">
                  <c:v>55</c:v>
                </c:pt>
                <c:pt idx="13">
                  <c:v>57</c:v>
                </c:pt>
                <c:pt idx="14">
                  <c:v>57</c:v>
                </c:pt>
                <c:pt idx="15">
                  <c:v>58</c:v>
                </c:pt>
                <c:pt idx="16">
                  <c:v>64</c:v>
                </c:pt>
                <c:pt idx="17">
                  <c:v>66</c:v>
                </c:pt>
                <c:pt idx="18">
                  <c:v>70</c:v>
                </c:pt>
                <c:pt idx="19">
                  <c:v>76</c:v>
                </c:pt>
                <c:pt idx="20">
                  <c:v>101</c:v>
                </c:pt>
                <c:pt idx="21">
                  <c:v>106</c:v>
                </c:pt>
                <c:pt idx="22">
                  <c:v>115</c:v>
                </c:pt>
                <c:pt idx="23">
                  <c:v>127</c:v>
                </c:pt>
                <c:pt idx="2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2</xdr:row>
      <xdr:rowOff>152400</xdr:rowOff>
    </xdr:from>
    <xdr:to>
      <xdr:col>3</xdr:col>
      <xdr:colOff>485776</xdr:colOff>
      <xdr:row>3</xdr:row>
      <xdr:rowOff>142875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2009776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152400</xdr:rowOff>
    </xdr:from>
    <xdr:to>
      <xdr:col>7</xdr:col>
      <xdr:colOff>381000</xdr:colOff>
      <xdr:row>3</xdr:row>
      <xdr:rowOff>142875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876675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3</xdr:row>
      <xdr:rowOff>0</xdr:rowOff>
    </xdr:from>
    <xdr:to>
      <xdr:col>11</xdr:col>
      <xdr:colOff>342900</xdr:colOff>
      <xdr:row>3</xdr:row>
      <xdr:rowOff>161925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5429250" y="4857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N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76</v>
      </c>
      <c r="D2" s="38" t="s">
        <v>75</v>
      </c>
      <c r="E2" s="37" t="s">
        <v>33</v>
      </c>
      <c r="F2" s="37" t="s">
        <v>46</v>
      </c>
      <c r="G2" s="38" t="s">
        <v>77</v>
      </c>
      <c r="H2" s="37" t="s">
        <v>26</v>
      </c>
    </row>
    <row r="3" spans="2:8" x14ac:dyDescent="0.2">
      <c r="B3" s="5" t="s">
        <v>0</v>
      </c>
      <c r="C3" s="6">
        <v>1033</v>
      </c>
      <c r="D3" s="42">
        <v>1095</v>
      </c>
      <c r="E3" s="6">
        <f>SUM(C3)-D3</f>
        <v>-62</v>
      </c>
      <c r="F3" s="23">
        <f>SUM(E3/D3)*100</f>
        <v>-5.6621004566210047</v>
      </c>
      <c r="G3" s="42">
        <v>1039</v>
      </c>
      <c r="H3" s="6">
        <f>SUM(C3)-G3</f>
        <v>-6</v>
      </c>
    </row>
    <row r="4" spans="2:8" x14ac:dyDescent="0.2">
      <c r="B4" s="5" t="s">
        <v>1</v>
      </c>
      <c r="C4" s="6">
        <v>3619</v>
      </c>
      <c r="D4" s="42">
        <v>3773</v>
      </c>
      <c r="E4" s="6">
        <f t="shared" ref="E4:E26" si="0">SUM(C4)-D4</f>
        <v>-154</v>
      </c>
      <c r="F4" s="23">
        <f t="shared" ref="F4:F28" si="1">SUM(E4/D4)*100</f>
        <v>-4.0816326530612246</v>
      </c>
      <c r="G4" s="42">
        <v>3585</v>
      </c>
      <c r="H4" s="6">
        <f t="shared" ref="H4:H27" si="2">SUM(C4)-G4</f>
        <v>34</v>
      </c>
    </row>
    <row r="5" spans="2:8" x14ac:dyDescent="0.2">
      <c r="B5" s="5" t="s">
        <v>2</v>
      </c>
      <c r="C5" s="6">
        <v>2265</v>
      </c>
      <c r="D5" s="42">
        <v>2407</v>
      </c>
      <c r="E5" s="6">
        <f t="shared" si="0"/>
        <v>-142</v>
      </c>
      <c r="F5" s="23">
        <f t="shared" si="1"/>
        <v>-5.8994599085999164</v>
      </c>
      <c r="G5" s="42">
        <v>2394</v>
      </c>
      <c r="H5" s="6">
        <f t="shared" si="2"/>
        <v>-129</v>
      </c>
    </row>
    <row r="6" spans="2:8" x14ac:dyDescent="0.2">
      <c r="B6" s="5" t="s">
        <v>3</v>
      </c>
      <c r="C6" s="6">
        <v>4438</v>
      </c>
      <c r="D6" s="42">
        <v>4643</v>
      </c>
      <c r="E6" s="6">
        <f t="shared" si="0"/>
        <v>-205</v>
      </c>
      <c r="F6" s="23">
        <f t="shared" si="1"/>
        <v>-4.4152487615765672</v>
      </c>
      <c r="G6" s="42">
        <v>4276</v>
      </c>
      <c r="H6" s="6">
        <f t="shared" si="2"/>
        <v>162</v>
      </c>
    </row>
    <row r="7" spans="2:8" x14ac:dyDescent="0.2">
      <c r="B7" s="5" t="s">
        <v>4</v>
      </c>
      <c r="C7" s="6">
        <v>4833</v>
      </c>
      <c r="D7" s="42">
        <v>4996</v>
      </c>
      <c r="E7" s="6">
        <f t="shared" si="0"/>
        <v>-163</v>
      </c>
      <c r="F7" s="23">
        <f t="shared" si="1"/>
        <v>-3.2626100880704563</v>
      </c>
      <c r="G7" s="42">
        <v>4902</v>
      </c>
      <c r="H7" s="6">
        <f t="shared" si="2"/>
        <v>-69</v>
      </c>
    </row>
    <row r="8" spans="2:8" x14ac:dyDescent="0.2">
      <c r="B8" s="5" t="s">
        <v>5</v>
      </c>
      <c r="C8" s="6">
        <v>1536</v>
      </c>
      <c r="D8" s="42">
        <v>1625</v>
      </c>
      <c r="E8" s="6">
        <f t="shared" si="0"/>
        <v>-89</v>
      </c>
      <c r="F8" s="23">
        <f t="shared" si="1"/>
        <v>-5.476923076923077</v>
      </c>
      <c r="G8" s="42">
        <v>1525</v>
      </c>
      <c r="H8" s="6">
        <f t="shared" si="2"/>
        <v>11</v>
      </c>
    </row>
    <row r="9" spans="2:8" x14ac:dyDescent="0.2">
      <c r="B9" s="9" t="s">
        <v>6</v>
      </c>
      <c r="C9" s="6">
        <v>2409</v>
      </c>
      <c r="D9" s="42">
        <v>2479</v>
      </c>
      <c r="E9" s="6">
        <f t="shared" si="0"/>
        <v>-70</v>
      </c>
      <c r="F9" s="23">
        <f t="shared" si="1"/>
        <v>-2.8237192416296892</v>
      </c>
      <c r="G9" s="42">
        <v>2316</v>
      </c>
      <c r="H9" s="6">
        <f t="shared" si="2"/>
        <v>93</v>
      </c>
    </row>
    <row r="10" spans="2:8" x14ac:dyDescent="0.2">
      <c r="B10" s="5" t="s">
        <v>7</v>
      </c>
      <c r="C10" s="6">
        <v>1635</v>
      </c>
      <c r="D10" s="42">
        <v>1701</v>
      </c>
      <c r="E10" s="6">
        <f t="shared" si="0"/>
        <v>-66</v>
      </c>
      <c r="F10" s="23">
        <f t="shared" si="1"/>
        <v>-3.8800705467372132</v>
      </c>
      <c r="G10" s="42">
        <v>1676</v>
      </c>
      <c r="H10" s="6">
        <f t="shared" si="2"/>
        <v>-41</v>
      </c>
    </row>
    <row r="11" spans="2:8" x14ac:dyDescent="0.2">
      <c r="B11" s="5" t="s">
        <v>8</v>
      </c>
      <c r="C11" s="6">
        <v>2865</v>
      </c>
      <c r="D11" s="42">
        <v>3010</v>
      </c>
      <c r="E11" s="6">
        <f t="shared" si="0"/>
        <v>-145</v>
      </c>
      <c r="F11" s="23">
        <f t="shared" si="1"/>
        <v>-4.8172757475083063</v>
      </c>
      <c r="G11" s="42">
        <v>3042</v>
      </c>
      <c r="H11" s="6">
        <f t="shared" si="2"/>
        <v>-177</v>
      </c>
    </row>
    <row r="12" spans="2:8" x14ac:dyDescent="0.2">
      <c r="B12" s="5" t="s">
        <v>9</v>
      </c>
      <c r="C12" s="6">
        <v>1603</v>
      </c>
      <c r="D12" s="42">
        <v>1708</v>
      </c>
      <c r="E12" s="6">
        <f t="shared" si="0"/>
        <v>-105</v>
      </c>
      <c r="F12" s="23">
        <f t="shared" si="1"/>
        <v>-6.1475409836065573</v>
      </c>
      <c r="G12" s="42">
        <v>1656</v>
      </c>
      <c r="H12" s="6">
        <f t="shared" si="2"/>
        <v>-53</v>
      </c>
    </row>
    <row r="13" spans="2:8" x14ac:dyDescent="0.2">
      <c r="B13" s="5" t="s">
        <v>10</v>
      </c>
      <c r="C13" s="6">
        <v>2469</v>
      </c>
      <c r="D13" s="42">
        <v>2552</v>
      </c>
      <c r="E13" s="6">
        <f t="shared" si="0"/>
        <v>-83</v>
      </c>
      <c r="F13" s="23">
        <f t="shared" si="1"/>
        <v>-3.2523510971786838</v>
      </c>
      <c r="G13" s="42">
        <v>2501</v>
      </c>
      <c r="H13" s="6">
        <f t="shared" si="2"/>
        <v>-32</v>
      </c>
    </row>
    <row r="14" spans="2:8" x14ac:dyDescent="0.2">
      <c r="B14" s="5" t="s">
        <v>11</v>
      </c>
      <c r="C14" s="6">
        <v>3081</v>
      </c>
      <c r="D14" s="42">
        <v>3166</v>
      </c>
      <c r="E14" s="6">
        <f t="shared" si="0"/>
        <v>-85</v>
      </c>
      <c r="F14" s="23">
        <f t="shared" si="1"/>
        <v>-2.6847757422615288</v>
      </c>
      <c r="G14" s="42">
        <v>2872</v>
      </c>
      <c r="H14" s="6">
        <f t="shared" si="2"/>
        <v>209</v>
      </c>
    </row>
    <row r="15" spans="2:8" x14ac:dyDescent="0.2">
      <c r="B15" s="5" t="s">
        <v>12</v>
      </c>
      <c r="C15" s="6">
        <v>2870</v>
      </c>
      <c r="D15" s="42">
        <v>2997</v>
      </c>
      <c r="E15" s="6">
        <f t="shared" si="0"/>
        <v>-127</v>
      </c>
      <c r="F15" s="23">
        <f t="shared" si="1"/>
        <v>-4.2375709042375709</v>
      </c>
      <c r="G15" s="42">
        <v>2937</v>
      </c>
      <c r="H15" s="6">
        <f t="shared" si="2"/>
        <v>-67</v>
      </c>
    </row>
    <row r="16" spans="2:8" x14ac:dyDescent="0.2">
      <c r="B16" s="5" t="s">
        <v>13</v>
      </c>
      <c r="C16" s="6">
        <v>2855</v>
      </c>
      <c r="D16" s="42">
        <v>2930</v>
      </c>
      <c r="E16" s="6">
        <f t="shared" si="0"/>
        <v>-75</v>
      </c>
      <c r="F16" s="23">
        <f t="shared" si="1"/>
        <v>-2.5597269624573378</v>
      </c>
      <c r="G16" s="42">
        <v>2792</v>
      </c>
      <c r="H16" s="6">
        <f t="shared" si="2"/>
        <v>63</v>
      </c>
    </row>
    <row r="17" spans="2:8" x14ac:dyDescent="0.2">
      <c r="B17" s="5" t="s">
        <v>14</v>
      </c>
      <c r="C17" s="6">
        <v>3322</v>
      </c>
      <c r="D17" s="42">
        <v>3391</v>
      </c>
      <c r="E17" s="6">
        <f t="shared" si="0"/>
        <v>-69</v>
      </c>
      <c r="F17" s="23">
        <f t="shared" si="1"/>
        <v>-2.0347979946918313</v>
      </c>
      <c r="G17" s="42">
        <v>3160</v>
      </c>
      <c r="H17" s="6">
        <f t="shared" si="2"/>
        <v>162</v>
      </c>
    </row>
    <row r="18" spans="2:8" x14ac:dyDescent="0.2">
      <c r="B18" s="5" t="s">
        <v>15</v>
      </c>
      <c r="C18" s="6">
        <v>2661</v>
      </c>
      <c r="D18" s="42">
        <v>2741</v>
      </c>
      <c r="E18" s="6">
        <f t="shared" si="0"/>
        <v>-80</v>
      </c>
      <c r="F18" s="23">
        <f t="shared" si="1"/>
        <v>-2.9186428310835462</v>
      </c>
      <c r="G18" s="42">
        <v>2695</v>
      </c>
      <c r="H18" s="6">
        <f t="shared" si="2"/>
        <v>-34</v>
      </c>
    </row>
    <row r="19" spans="2:8" x14ac:dyDescent="0.2">
      <c r="B19" s="5" t="s">
        <v>16</v>
      </c>
      <c r="C19" s="6">
        <v>4600</v>
      </c>
      <c r="D19" s="42">
        <v>4650</v>
      </c>
      <c r="E19" s="6">
        <f t="shared" si="0"/>
        <v>-50</v>
      </c>
      <c r="F19" s="23">
        <f t="shared" si="1"/>
        <v>-1.0752688172043012</v>
      </c>
      <c r="G19" s="42">
        <v>4604</v>
      </c>
      <c r="H19" s="6">
        <f t="shared" si="2"/>
        <v>-4</v>
      </c>
    </row>
    <row r="20" spans="2:8" x14ac:dyDescent="0.2">
      <c r="B20" s="5" t="s">
        <v>17</v>
      </c>
      <c r="C20" s="6">
        <v>2987</v>
      </c>
      <c r="D20" s="42">
        <v>3097</v>
      </c>
      <c r="E20" s="6">
        <f t="shared" si="0"/>
        <v>-110</v>
      </c>
      <c r="F20" s="23">
        <f t="shared" si="1"/>
        <v>-3.5518243461414274</v>
      </c>
      <c r="G20" s="42">
        <v>2728</v>
      </c>
      <c r="H20" s="6">
        <f t="shared" si="2"/>
        <v>259</v>
      </c>
    </row>
    <row r="21" spans="2:8" x14ac:dyDescent="0.2">
      <c r="B21" s="5" t="s">
        <v>18</v>
      </c>
      <c r="C21" s="6">
        <v>2206</v>
      </c>
      <c r="D21" s="42">
        <v>2304</v>
      </c>
      <c r="E21" s="6">
        <f t="shared" si="0"/>
        <v>-98</v>
      </c>
      <c r="F21" s="23">
        <f t="shared" si="1"/>
        <v>-4.2534722222222223</v>
      </c>
      <c r="G21" s="42">
        <v>1959</v>
      </c>
      <c r="H21" s="6">
        <f t="shared" si="2"/>
        <v>247</v>
      </c>
    </row>
    <row r="22" spans="2:8" x14ac:dyDescent="0.2">
      <c r="B22" s="5" t="s">
        <v>19</v>
      </c>
      <c r="C22" s="6">
        <v>2996</v>
      </c>
      <c r="D22" s="42">
        <v>3101</v>
      </c>
      <c r="E22" s="6">
        <f t="shared" si="0"/>
        <v>-105</v>
      </c>
      <c r="F22" s="23">
        <f t="shared" si="1"/>
        <v>-3.3860045146726865</v>
      </c>
      <c r="G22" s="42">
        <v>3059</v>
      </c>
      <c r="H22" s="6">
        <f t="shared" si="2"/>
        <v>-63</v>
      </c>
    </row>
    <row r="23" spans="2:8" x14ac:dyDescent="0.2">
      <c r="B23" s="5" t="s">
        <v>20</v>
      </c>
      <c r="C23" s="6">
        <v>1222</v>
      </c>
      <c r="D23" s="42">
        <v>1253</v>
      </c>
      <c r="E23" s="6">
        <f t="shared" si="0"/>
        <v>-31</v>
      </c>
      <c r="F23" s="23">
        <f t="shared" si="1"/>
        <v>-2.4740622505985637</v>
      </c>
      <c r="G23" s="42">
        <v>1228</v>
      </c>
      <c r="H23" s="6">
        <f t="shared" si="2"/>
        <v>-6</v>
      </c>
    </row>
    <row r="24" spans="2:8" x14ac:dyDescent="0.2">
      <c r="B24" s="5" t="s">
        <v>21</v>
      </c>
      <c r="C24" s="6">
        <v>864</v>
      </c>
      <c r="D24" s="42">
        <v>882</v>
      </c>
      <c r="E24" s="6">
        <f t="shared" si="0"/>
        <v>-18</v>
      </c>
      <c r="F24" s="23">
        <f t="shared" si="1"/>
        <v>-2.0408163265306123</v>
      </c>
      <c r="G24" s="42">
        <v>862</v>
      </c>
      <c r="H24" s="6">
        <f t="shared" si="2"/>
        <v>2</v>
      </c>
    </row>
    <row r="25" spans="2:8" x14ac:dyDescent="0.2">
      <c r="B25" s="5" t="s">
        <v>22</v>
      </c>
      <c r="C25" s="6">
        <v>2319</v>
      </c>
      <c r="D25" s="42">
        <v>2355</v>
      </c>
      <c r="E25" s="6">
        <f t="shared" si="0"/>
        <v>-36</v>
      </c>
      <c r="F25" s="23">
        <f t="shared" si="1"/>
        <v>-1.5286624203821657</v>
      </c>
      <c r="G25" s="42">
        <v>2314</v>
      </c>
      <c r="H25" s="6">
        <f t="shared" si="2"/>
        <v>5</v>
      </c>
    </row>
    <row r="26" spans="2:8" x14ac:dyDescent="0.2">
      <c r="B26" s="5" t="s">
        <v>23</v>
      </c>
      <c r="C26" s="6">
        <v>5107</v>
      </c>
      <c r="D26" s="42">
        <v>5127</v>
      </c>
      <c r="E26" s="6">
        <f t="shared" si="0"/>
        <v>-20</v>
      </c>
      <c r="F26" s="23">
        <f t="shared" si="1"/>
        <v>-0.39009167154281255</v>
      </c>
      <c r="G26" s="42">
        <v>5039</v>
      </c>
      <c r="H26" s="6">
        <f t="shared" si="2"/>
        <v>68</v>
      </c>
    </row>
    <row r="27" spans="2:8" x14ac:dyDescent="0.2">
      <c r="B27" s="5" t="s">
        <v>24</v>
      </c>
      <c r="C27" s="6">
        <v>1013</v>
      </c>
      <c r="D27" s="42">
        <v>1048</v>
      </c>
      <c r="E27" s="6">
        <f>SUM(C27)-D27</f>
        <v>-35</v>
      </c>
      <c r="F27" s="23">
        <f t="shared" si="1"/>
        <v>-3.3396946564885495</v>
      </c>
      <c r="G27" s="42">
        <v>1086</v>
      </c>
      <c r="H27" s="6">
        <f t="shared" si="2"/>
        <v>-73</v>
      </c>
    </row>
    <row r="28" spans="2:8" ht="15" x14ac:dyDescent="0.25">
      <c r="B28" s="39" t="s">
        <v>25</v>
      </c>
      <c r="C28" s="40">
        <f>SUM(C3:C27)</f>
        <v>66808</v>
      </c>
      <c r="D28" s="41">
        <f>SUM(D3:D27)</f>
        <v>69031</v>
      </c>
      <c r="E28" s="40">
        <f>SUM(C28)-D28</f>
        <v>-2223</v>
      </c>
      <c r="F28" s="45">
        <f t="shared" si="1"/>
        <v>-3.2202923324303572</v>
      </c>
      <c r="G28" s="41">
        <f>SUM(G3:G27)</f>
        <v>66247</v>
      </c>
      <c r="H28" s="40">
        <f>SUM(C28)-G28</f>
        <v>561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30-04-'25 r.</v>
      </c>
      <c r="E3" s="36" t="str">
        <f>T('5do 30 r.ż.'!D2)</f>
        <v>liczba bezrobotnych do 30 r. ż. stan na 31-03-'25 r.</v>
      </c>
      <c r="F3" s="36" t="str">
        <f>T('5do 30 r.ż.'!E2)</f>
        <v>wzrost/spadek do poprzedniego  miesiąca</v>
      </c>
      <c r="G3" s="36" t="str">
        <f>T('5do 30 r.ż.'!F2)</f>
        <v>liczba bezrobotnych do 30 r. ż. stan na 30-04-'24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174</v>
      </c>
      <c r="E4" s="42">
        <f>INDEX('5do 30 r.ż.'!B3:G28,MATCH(1,B4:B29,0),3)</f>
        <v>176</v>
      </c>
      <c r="F4" s="6">
        <f>INDEX('5do 30 r.ż.'!B3:G28,MATCH(1,B4:B29,0),4)</f>
        <v>-2</v>
      </c>
      <c r="G4" s="42">
        <f>INDEX('5do 30 r.ż.'!B3:G28,MATCH(1,B4:B29,0),5)</f>
        <v>170</v>
      </c>
      <c r="H4" s="6">
        <f>INDEX('5do 30 r.ż.'!B3:G28,MATCH(1,B4:B29,0),6)</f>
        <v>4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204</v>
      </c>
      <c r="E5" s="42">
        <f>INDEX('5do 30 r.ż.'!B3:G28,MATCH(2,B4:B29,0),3)</f>
        <v>219</v>
      </c>
      <c r="F5" s="6">
        <f>INDEX('5do 30 r.ż.'!B3:G28,MATCH(2,B4:B29,0),4)</f>
        <v>-15</v>
      </c>
      <c r="G5" s="42">
        <f>INDEX('5do 30 r.ż.'!B3:G28,MATCH(2,B4:B29,0),5)</f>
        <v>219</v>
      </c>
      <c r="H5" s="6">
        <f>INDEX('5do 30 r.ż.'!B3:G28,MATCH(2,B4:B29,0),6)</f>
        <v>-15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260</v>
      </c>
      <c r="E6" s="42">
        <f>INDEX('5do 30 r.ż.'!B3:G28,MATCH(3,B4:B29,0),3)</f>
        <v>287</v>
      </c>
      <c r="F6" s="6">
        <f>INDEX('5do 30 r.ż.'!B3:G28,MATCH(3,B4:B29,0),4)</f>
        <v>-27</v>
      </c>
      <c r="G6" s="42">
        <f>INDEX('5do 30 r.ż.'!B3:G28,MATCH(3,B4:B29,0),5)</f>
        <v>268</v>
      </c>
      <c r="H6" s="6">
        <f>INDEX('5do 30 r.ż.'!B3:G28,MATCH(3,B4:B29,0),6)</f>
        <v>-8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315</v>
      </c>
      <c r="E7" s="42">
        <f>INDEX('5do 30 r.ż.'!B3:G28,MATCH(4,B4:B29,0),3)</f>
        <v>323</v>
      </c>
      <c r="F7" s="6">
        <f>INDEX('5do 30 r.ż.'!B3:G28,MATCH(4,B4:B29,0),4)</f>
        <v>-8</v>
      </c>
      <c r="G7" s="42">
        <f>INDEX('5do 30 r.ż.'!B3:G28,MATCH(4,B4:B29,0),5)</f>
        <v>323</v>
      </c>
      <c r="H7" s="6">
        <f>INDEX('5do 30 r.ż.'!B3:G28,MATCH(4,B4:B29,0),6)</f>
        <v>-8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411</v>
      </c>
      <c r="E8" s="42">
        <f>INDEX('5do 30 r.ż.'!B3:G28,MATCH(5,B4:B29,0),3)</f>
        <v>424</v>
      </c>
      <c r="F8" s="6">
        <f>INDEX('5do 30 r.ż.'!B3:G28,MATCH(5,B4:B29,0),4)</f>
        <v>-13</v>
      </c>
      <c r="G8" s="42">
        <f>INDEX('5do 30 r.ż.'!B3:G28,MATCH(5,B4:B29,0),5)</f>
        <v>414</v>
      </c>
      <c r="H8" s="6">
        <f>INDEX('5do 30 r.ż.'!B3:G28,MATCH(5,B4:B29,0),6)</f>
        <v>-3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424</v>
      </c>
      <c r="E9" s="42">
        <f>INDEX('5do 30 r.ż.'!B3:G28,MATCH(6,B4:B29,0),3)</f>
        <v>467</v>
      </c>
      <c r="F9" s="6">
        <f>INDEX('5do 30 r.ż.'!B3:G28,MATCH(6,B4:B29,0),4)</f>
        <v>-43</v>
      </c>
      <c r="G9" s="42">
        <f>INDEX('5do 30 r.ż.'!B3:G28,MATCH(6,B4:B29,0),5)</f>
        <v>409</v>
      </c>
      <c r="H9" s="6">
        <f>INDEX('5do 30 r.ż.'!B3:G28,MATCH(6,B4:B29,0),6)</f>
        <v>15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lubaczowski</v>
      </c>
      <c r="D10" s="6">
        <f>INDEX('5do 30 r.ż.'!B3:G28,MATCH(7,B4:B29,0),2)</f>
        <v>443</v>
      </c>
      <c r="E10" s="42">
        <f>INDEX('5do 30 r.ż.'!B3:G28,MATCH(7,B4:B29,0),3)</f>
        <v>461</v>
      </c>
      <c r="F10" s="6">
        <f>INDEX('5do 30 r.ż.'!B3:G28,MATCH(7,B4:B29,0),4)</f>
        <v>-18</v>
      </c>
      <c r="G10" s="42">
        <f>INDEX('5do 30 r.ż.'!B3:G28,MATCH(7,B4:B29,0),5)</f>
        <v>454</v>
      </c>
      <c r="H10" s="6">
        <f>INDEX('5do 30 r.ż.'!B3:G28,MATCH(7,B4:B29,0),6)</f>
        <v>-11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461</v>
      </c>
      <c r="E11" s="42">
        <f>INDEX('5do 30 r.ż.'!B3:G28,MATCH(8,B4:B29,0),3)</f>
        <v>454</v>
      </c>
      <c r="F11" s="6">
        <f>INDEX('5do 30 r.ż.'!B3:G28,MATCH(8,B4:B29,0),4)</f>
        <v>7</v>
      </c>
      <c r="G11" s="42">
        <f>INDEX('5do 30 r.ż.'!B3:G28,MATCH(8,B4:B29,0),5)</f>
        <v>424</v>
      </c>
      <c r="H11" s="6">
        <f>INDEX('5do 30 r.ż.'!B3:G28,MATCH(8,B4:B29,0),6)</f>
        <v>37</v>
      </c>
    </row>
    <row r="12" spans="2:8" x14ac:dyDescent="0.2">
      <c r="B12" s="6">
        <f>RANK('5do 30 r.ż.'!C11,'5do 30 r.ż.'!$C$3:'5do 30 r.ż.'!$C$28,1)+COUNTIF('5do 30 r.ż.'!$C$3:'5do 30 r.ż.'!C11,'5do 30 r.ż.'!C11)-1</f>
        <v>15</v>
      </c>
      <c r="C12" s="5" t="str">
        <f>INDEX('5do 30 r.ż.'!B3:G28,MATCH(9,B4:B29,0),1)</f>
        <v>stalowowolski</v>
      </c>
      <c r="D12" s="6">
        <f>INDEX('5do 30 r.ż.'!B3:G28,MATCH(9,B4:B29,0),2)</f>
        <v>579</v>
      </c>
      <c r="E12" s="42">
        <f>INDEX('5do 30 r.ż.'!B3:G28,MATCH(9,B4:B29,0),3)</f>
        <v>616</v>
      </c>
      <c r="F12" s="6">
        <f>INDEX('5do 30 r.ż.'!B3:G28,MATCH(9,B4:B29,0),4)</f>
        <v>-37</v>
      </c>
      <c r="G12" s="42">
        <f>INDEX('5do 30 r.ż.'!B3:G28,MATCH(9,B4:B29,0),5)</f>
        <v>530</v>
      </c>
      <c r="H12" s="6">
        <f>INDEX('5do 30 r.ż.'!B3:G28,MATCH(9,B4:B29,0),6)</f>
        <v>49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krośnieński</v>
      </c>
      <c r="D13" s="6">
        <f>INDEX('5do 30 r.ż.'!B3:G28,MATCH(10,B4:B29,0),2)</f>
        <v>589</v>
      </c>
      <c r="E13" s="42">
        <f>INDEX('5do 30 r.ż.'!B3:G28,MATCH(10,B4:B29,0),3)</f>
        <v>627</v>
      </c>
      <c r="F13" s="6">
        <f>INDEX('5do 30 r.ż.'!B3:G28,MATCH(10,B4:B29,0),4)</f>
        <v>-38</v>
      </c>
      <c r="G13" s="42">
        <f>INDEX('5do 30 r.ż.'!B3:G28,MATCH(10,B4:B29,0),5)</f>
        <v>605</v>
      </c>
      <c r="H13" s="6">
        <f>INDEX('5do 30 r.ż.'!B3:G28,MATCH(10,B4:B29,0),6)</f>
        <v>-16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716</v>
      </c>
      <c r="E14" s="42">
        <f>INDEX('5do 30 r.ż.'!B3:G28,MATCH(11,B4:B29,0),3)</f>
        <v>751</v>
      </c>
      <c r="F14" s="6">
        <f>INDEX('5do 30 r.ż.'!B3:G28,MATCH(11,B4:B29,0),4)</f>
        <v>-35</v>
      </c>
      <c r="G14" s="42">
        <f>INDEX('5do 30 r.ż.'!B3:G28,MATCH(11,B4:B29,0),5)</f>
        <v>698</v>
      </c>
      <c r="H14" s="6">
        <f>INDEX('5do 30 r.ż.'!B3:G28,MATCH(11,B4:B29,0),6)</f>
        <v>18</v>
      </c>
    </row>
    <row r="15" spans="2:8" x14ac:dyDescent="0.2">
      <c r="B15" s="6">
        <f>RANK('5do 30 r.ż.'!C14,'5do 30 r.ż.'!$C$3:'5do 30 r.ż.'!$C$28,1)+COUNTIF('5do 30 r.ż.'!$C$3:'5do 30 r.ż.'!C14,'5do 30 r.ż.'!C14)-1</f>
        <v>18</v>
      </c>
      <c r="C15" s="5" t="str">
        <f>INDEX('5do 30 r.ż.'!B3:G28,MATCH(12,B4:B29,0),1)</f>
        <v>łańcucki</v>
      </c>
      <c r="D15" s="6">
        <f>INDEX('5do 30 r.ż.'!B3:G28,MATCH(12,B4:B29,0),2)</f>
        <v>716</v>
      </c>
      <c r="E15" s="42">
        <f>INDEX('5do 30 r.ż.'!B3:G28,MATCH(12,B4:B29,0),3)</f>
        <v>753</v>
      </c>
      <c r="F15" s="6">
        <f>INDEX('5do 30 r.ż.'!B3:G28,MATCH(12,B4:B29,0),4)</f>
        <v>-37</v>
      </c>
      <c r="G15" s="42">
        <f>INDEX('5do 30 r.ż.'!B3:G28,MATCH(12,B4:B29,0),5)</f>
        <v>724</v>
      </c>
      <c r="H15" s="6">
        <f>INDEX('5do 30 r.ż.'!B3:G28,MATCH(12,B4:B29,0),6)</f>
        <v>-8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743</v>
      </c>
      <c r="E16" s="42">
        <f>INDEX('5do 30 r.ż.'!B3:G28,MATCH(13,B4:B29,0),3)</f>
        <v>781</v>
      </c>
      <c r="F16" s="6">
        <f>INDEX('5do 30 r.ż.'!B3:G28,MATCH(13,B4:B29,0),4)</f>
        <v>-38</v>
      </c>
      <c r="G16" s="42">
        <f>INDEX('5do 30 r.ż.'!B3:G28,MATCH(13,B4:B29,0),5)</f>
        <v>769</v>
      </c>
      <c r="H16" s="6">
        <f>INDEX('5do 30 r.ż.'!B3:G28,MATCH(13,B4:B29,0),6)</f>
        <v>-26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748</v>
      </c>
      <c r="E17" s="42">
        <f>INDEX('5do 30 r.ż.'!B3:G28,MATCH(14,B4:B29,0),3)</f>
        <v>757</v>
      </c>
      <c r="F17" s="6">
        <f>INDEX('5do 30 r.ż.'!B3:G28,MATCH(14,B4:B29,0),4)</f>
        <v>-9</v>
      </c>
      <c r="G17" s="42">
        <f>INDEX('5do 30 r.ż.'!B3:G28,MATCH(14,B4:B29,0),5)</f>
        <v>774</v>
      </c>
      <c r="H17" s="6">
        <f>INDEX('5do 30 r.ż.'!B3:G28,MATCH(14,B4:B29,0),6)</f>
        <v>-26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leżajski</v>
      </c>
      <c r="D18" s="6">
        <f>INDEX('5do 30 r.ż.'!B3:G28,MATCH(15,B4:B29,0),2)</f>
        <v>780</v>
      </c>
      <c r="E18" s="42">
        <f>INDEX('5do 30 r.ż.'!B3:G28,MATCH(15,B4:B29,0),3)</f>
        <v>837</v>
      </c>
      <c r="F18" s="6">
        <f>INDEX('5do 30 r.ż.'!B3:G28,MATCH(15,B4:B29,0),4)</f>
        <v>-57</v>
      </c>
      <c r="G18" s="42">
        <f>INDEX('5do 30 r.ż.'!B3:G28,MATCH(15,B4:B29,0),5)</f>
        <v>860</v>
      </c>
      <c r="H18" s="6">
        <f>INDEX('5do 30 r.ż.'!B3:G28,MATCH(15,B4:B29,0),6)</f>
        <v>-80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strzyżowski</v>
      </c>
      <c r="D19" s="6">
        <f>INDEX('5do 30 r.ż.'!B3:G28,MATCH(16,B4:B29,0),2)</f>
        <v>789</v>
      </c>
      <c r="E19" s="42">
        <f>INDEX('5do 30 r.ż.'!B3:G28,MATCH(16,B4:B29,0),3)</f>
        <v>845</v>
      </c>
      <c r="F19" s="6">
        <f>INDEX('5do 30 r.ż.'!B3:G28,MATCH(16,B4:B29,0),4)</f>
        <v>-56</v>
      </c>
      <c r="G19" s="42">
        <f>INDEX('5do 30 r.ż.'!B3:G28,MATCH(16,B4:B29,0),5)</f>
        <v>821</v>
      </c>
      <c r="H19" s="6">
        <f>INDEX('5do 30 r.ż.'!B3:G28,MATCH(16,B4:B29,0),6)</f>
        <v>-32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sanocki</v>
      </c>
      <c r="D20" s="6">
        <f>INDEX('5do 30 r.ż.'!B3:G28,MATCH(17,B4:B29,0),2)</f>
        <v>792</v>
      </c>
      <c r="E20" s="42">
        <f>INDEX('5do 30 r.ż.'!B3:G28,MATCH(17,B4:B29,0),3)</f>
        <v>852</v>
      </c>
      <c r="F20" s="6">
        <f>INDEX('5do 30 r.ż.'!B3:G28,MATCH(17,B4:B29,0),4)</f>
        <v>-60</v>
      </c>
      <c r="G20" s="42">
        <f>INDEX('5do 30 r.ż.'!B3:G28,MATCH(17,B4:B29,0),5)</f>
        <v>719</v>
      </c>
      <c r="H20" s="6">
        <f>INDEX('5do 30 r.ż.'!B3:G28,MATCH(17,B4:B29,0),6)</f>
        <v>73</v>
      </c>
    </row>
    <row r="21" spans="2:8" x14ac:dyDescent="0.2">
      <c r="B21" s="6">
        <f>RANK('5do 30 r.ż.'!C20,'5do 30 r.ż.'!$C$3:'5do 30 r.ż.'!$C$28,1)+COUNTIF('5do 30 r.ż.'!$C$3:'5do 30 r.ż.'!C20,'5do 30 r.ż.'!C20)-1</f>
        <v>17</v>
      </c>
      <c r="C21" s="5" t="str">
        <f>INDEX('5do 30 r.ż.'!B3:G28,MATCH(18,B4:B29,0),1)</f>
        <v>mielecki</v>
      </c>
      <c r="D21" s="6">
        <f>INDEX('5do 30 r.ż.'!B3:G28,MATCH(18,B4:B29,0),2)</f>
        <v>793</v>
      </c>
      <c r="E21" s="42">
        <f>INDEX('5do 30 r.ż.'!B3:G28,MATCH(18,B4:B29,0),3)</f>
        <v>833</v>
      </c>
      <c r="F21" s="6">
        <f>INDEX('5do 30 r.ż.'!B3:G28,MATCH(18,B4:B29,0),4)</f>
        <v>-40</v>
      </c>
      <c r="G21" s="42">
        <f>INDEX('5do 30 r.ż.'!B3:G28,MATCH(18,B4:B29,0),5)</f>
        <v>725</v>
      </c>
      <c r="H21" s="6">
        <f>INDEX('5do 30 r.ż.'!B3:G28,MATCH(18,B4:B29,0),6)</f>
        <v>68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819</v>
      </c>
      <c r="E22" s="42">
        <f>INDEX('5do 30 r.ż.'!B3:G28,MATCH(19,B4:B29,0),3)</f>
        <v>858</v>
      </c>
      <c r="F22" s="6">
        <f>INDEX('5do 30 r.ż.'!B3:G28,MATCH(19,B4:B29,0),4)</f>
        <v>-39</v>
      </c>
      <c r="G22" s="42">
        <f>INDEX('5do 30 r.ż.'!B3:G28,MATCH(19,B4:B29,0),5)</f>
        <v>806</v>
      </c>
      <c r="H22" s="6">
        <f>INDEX('5do 30 r.ż.'!B3:G28,MATCH(19,B4:B29,0),6)</f>
        <v>13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898</v>
      </c>
      <c r="E23" s="42">
        <f>INDEX('5do 30 r.ż.'!B3:G28,MATCH(20,B4:B29,0),3)</f>
        <v>930</v>
      </c>
      <c r="F23" s="6">
        <f>INDEX('5do 30 r.ż.'!B3:G28,MATCH(20,B4:B29,0),4)</f>
        <v>-32</v>
      </c>
      <c r="G23" s="42">
        <f>INDEX('5do 30 r.ż.'!B3:G28,MATCH(20,B4:B29,0),5)</f>
        <v>869</v>
      </c>
      <c r="H23" s="6">
        <f>INDEX('5do 30 r.ż.'!B3:G28,MATCH(20,B4:B29,0),6)</f>
        <v>29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975</v>
      </c>
      <c r="E24" s="42">
        <f>INDEX('5do 30 r.ż.'!B3:G28,MATCH(21,B4:B29,0),3)</f>
        <v>986</v>
      </c>
      <c r="F24" s="6">
        <f>INDEX('5do 30 r.ż.'!B3:G28,MATCH(21,B4:B29,0),4)</f>
        <v>-11</v>
      </c>
      <c r="G24" s="42">
        <f>INDEX('5do 30 r.ż.'!B3:G28,MATCH(21,B4:B29,0),5)</f>
        <v>919</v>
      </c>
      <c r="H24" s="6">
        <f>INDEX('5do 30 r.ż.'!B3:G28,MATCH(21,B4:B29,0),6)</f>
        <v>56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980</v>
      </c>
      <c r="E25" s="42">
        <f>INDEX('5do 30 r.ż.'!B3:G28,MATCH(22,B4:B29,0),3)</f>
        <v>1030</v>
      </c>
      <c r="F25" s="6">
        <f>INDEX('5do 30 r.ż.'!B3:G28,MATCH(22,B4:B29,0),4)</f>
        <v>-50</v>
      </c>
      <c r="G25" s="42">
        <f>INDEX('5do 30 r.ż.'!B3:G28,MATCH(22,B4:B29,0),5)</f>
        <v>924</v>
      </c>
      <c r="H25" s="6">
        <f>INDEX('5do 30 r.ż.'!B3:G28,MATCH(22,B4:B29,0),6)</f>
        <v>56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1129</v>
      </c>
      <c r="E26" s="42">
        <f>INDEX('5do 30 r.ż.'!B3:G28,MATCH(23,B4:B29,0),3)</f>
        <v>1237</v>
      </c>
      <c r="F26" s="6">
        <f>INDEX('5do 30 r.ż.'!B3:G28,MATCH(23,B4:B29,0),4)</f>
        <v>-108</v>
      </c>
      <c r="G26" s="42">
        <f>INDEX('5do 30 r.ż.'!B3:G28,MATCH(23,B4:B29,0),5)</f>
        <v>1075</v>
      </c>
      <c r="H26" s="6">
        <f>INDEX('5do 30 r.ż.'!B3:G28,MATCH(23,B4:B29,0),6)</f>
        <v>54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jasielski</v>
      </c>
      <c r="D27" s="6">
        <f>INDEX('5do 30 r.ż.'!B3:G28,MATCH(24,B4:B29,0),2)</f>
        <v>1239</v>
      </c>
      <c r="E27" s="42">
        <f>INDEX('5do 30 r.ż.'!B3:G28,MATCH(24,B4:B29,0),3)</f>
        <v>1280</v>
      </c>
      <c r="F27" s="6">
        <f>INDEX('5do 30 r.ż.'!B3:G28,MATCH(24,B4:B29,0),4)</f>
        <v>-41</v>
      </c>
      <c r="G27" s="42">
        <f>INDEX('5do 30 r.ż.'!B3:G28,MATCH(24,B4:B29,0),5)</f>
        <v>1226</v>
      </c>
      <c r="H27" s="6">
        <f>INDEX('5do 30 r.ż.'!B3:G28,MATCH(24,B4:B29,0),6)</f>
        <v>13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1245</v>
      </c>
      <c r="E28" s="42">
        <f>INDEX('5do 30 r.ż.'!B3:G28,MATCH(25,B4:B29,0),3)</f>
        <v>1263</v>
      </c>
      <c r="F28" s="6">
        <f>INDEX('5do 30 r.ż.'!B3:G28,MATCH(25,B4:B29,0),4)</f>
        <v>-18</v>
      </c>
      <c r="G28" s="42">
        <f>INDEX('5do 30 r.ż.'!B3:G28,MATCH(25,B4:B29,0),5)</f>
        <v>1225</v>
      </c>
      <c r="H28" s="6">
        <f>INDEX('5do 30 r.ż.'!B3:G28,MATCH(25,B4:B29,0),6)</f>
        <v>20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17222</v>
      </c>
      <c r="E29" s="44">
        <f>INDEX('5do 30 r.ż.'!B3:G28,MATCH(26,B4:B29,0),3)</f>
        <v>18047</v>
      </c>
      <c r="F29" s="40">
        <f>INDEX('5do 30 r.ż.'!B3:G28,MATCH(26,B4:B29,0),4)</f>
        <v>-825</v>
      </c>
      <c r="G29" s="44">
        <f>INDEX('5do 30 r.ż.'!B3:G28,MATCH(26,B4:B29,0),5)</f>
        <v>16950</v>
      </c>
      <c r="H29" s="40">
        <f>INDEX('5do 30 r.ż.'!B3:G28,MATCH(26,B4:B29,0),6)</f>
        <v>272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90</v>
      </c>
      <c r="D2" s="38" t="s">
        <v>89</v>
      </c>
      <c r="E2" s="37" t="s">
        <v>28</v>
      </c>
      <c r="F2" s="38" t="s">
        <v>91</v>
      </c>
      <c r="G2" s="37" t="s">
        <v>26</v>
      </c>
    </row>
    <row r="3" spans="2:8" x14ac:dyDescent="0.2">
      <c r="B3" s="5" t="s">
        <v>0</v>
      </c>
      <c r="C3" s="28">
        <v>243</v>
      </c>
      <c r="D3" s="42">
        <v>247</v>
      </c>
      <c r="E3" s="28">
        <f t="shared" ref="E3:E27" si="0">SUM(C3)-D3</f>
        <v>-4</v>
      </c>
      <c r="F3" s="42">
        <v>239</v>
      </c>
      <c r="G3" s="28">
        <f t="shared" ref="G3:G27" si="1">SUM(C3)-F3</f>
        <v>4</v>
      </c>
      <c r="H3" s="7"/>
    </row>
    <row r="4" spans="2:8" x14ac:dyDescent="0.2">
      <c r="B4" s="5" t="s">
        <v>1</v>
      </c>
      <c r="C4" s="28">
        <v>873</v>
      </c>
      <c r="D4" s="42">
        <v>906</v>
      </c>
      <c r="E4" s="28">
        <f t="shared" si="0"/>
        <v>-33</v>
      </c>
      <c r="F4" s="42">
        <v>902</v>
      </c>
      <c r="G4" s="28">
        <f t="shared" si="1"/>
        <v>-29</v>
      </c>
      <c r="H4" s="7"/>
    </row>
    <row r="5" spans="2:8" x14ac:dyDescent="0.2">
      <c r="B5" s="5" t="s">
        <v>2</v>
      </c>
      <c r="C5" s="28">
        <v>526</v>
      </c>
      <c r="D5" s="42">
        <v>544</v>
      </c>
      <c r="E5" s="28">
        <f t="shared" si="0"/>
        <v>-18</v>
      </c>
      <c r="F5" s="42">
        <v>557</v>
      </c>
      <c r="G5" s="28">
        <f t="shared" si="1"/>
        <v>-31</v>
      </c>
      <c r="H5" s="7"/>
    </row>
    <row r="6" spans="2:8" x14ac:dyDescent="0.2">
      <c r="B6" s="5" t="s">
        <v>3</v>
      </c>
      <c r="C6" s="28">
        <v>1116</v>
      </c>
      <c r="D6" s="42">
        <v>1117</v>
      </c>
      <c r="E6" s="28">
        <f t="shared" si="0"/>
        <v>-1</v>
      </c>
      <c r="F6" s="42">
        <v>1058</v>
      </c>
      <c r="G6" s="28">
        <f t="shared" si="1"/>
        <v>58</v>
      </c>
      <c r="H6" s="7"/>
    </row>
    <row r="7" spans="2:8" x14ac:dyDescent="0.2">
      <c r="B7" s="5" t="s">
        <v>4</v>
      </c>
      <c r="C7" s="28">
        <v>1125</v>
      </c>
      <c r="D7" s="42">
        <v>1178</v>
      </c>
      <c r="E7" s="28">
        <f t="shared" si="0"/>
        <v>-53</v>
      </c>
      <c r="F7" s="42">
        <v>1119</v>
      </c>
      <c r="G7" s="28">
        <f t="shared" si="1"/>
        <v>6</v>
      </c>
      <c r="H7" s="7"/>
    </row>
    <row r="8" spans="2:8" x14ac:dyDescent="0.2">
      <c r="B8" s="5" t="s">
        <v>5</v>
      </c>
      <c r="C8" s="28">
        <v>414</v>
      </c>
      <c r="D8" s="42">
        <v>422</v>
      </c>
      <c r="E8" s="28">
        <f t="shared" si="0"/>
        <v>-8</v>
      </c>
      <c r="F8" s="42">
        <v>425</v>
      </c>
      <c r="G8" s="28">
        <f t="shared" si="1"/>
        <v>-11</v>
      </c>
      <c r="H8" s="7"/>
    </row>
    <row r="9" spans="2:8" x14ac:dyDescent="0.2">
      <c r="B9" s="9" t="s">
        <v>6</v>
      </c>
      <c r="C9" s="28">
        <v>666</v>
      </c>
      <c r="D9" s="42">
        <v>663</v>
      </c>
      <c r="E9" s="28">
        <f t="shared" si="0"/>
        <v>3</v>
      </c>
      <c r="F9" s="42">
        <v>600</v>
      </c>
      <c r="G9" s="28">
        <f t="shared" si="1"/>
        <v>66</v>
      </c>
      <c r="H9" s="7"/>
    </row>
    <row r="10" spans="2:8" x14ac:dyDescent="0.2">
      <c r="B10" s="5" t="s">
        <v>7</v>
      </c>
      <c r="C10" s="28">
        <v>440</v>
      </c>
      <c r="D10" s="42">
        <v>457</v>
      </c>
      <c r="E10" s="28">
        <f t="shared" si="0"/>
        <v>-17</v>
      </c>
      <c r="F10" s="42">
        <v>421</v>
      </c>
      <c r="G10" s="28">
        <f t="shared" si="1"/>
        <v>19</v>
      </c>
      <c r="H10" s="7"/>
    </row>
    <row r="11" spans="2:8" x14ac:dyDescent="0.2">
      <c r="B11" s="5" t="s">
        <v>8</v>
      </c>
      <c r="C11" s="28">
        <v>677</v>
      </c>
      <c r="D11" s="42">
        <v>701</v>
      </c>
      <c r="E11" s="28">
        <f t="shared" si="0"/>
        <v>-24</v>
      </c>
      <c r="F11" s="42">
        <v>708</v>
      </c>
      <c r="G11" s="28">
        <f t="shared" si="1"/>
        <v>-31</v>
      </c>
      <c r="H11" s="7"/>
    </row>
    <row r="12" spans="2:8" x14ac:dyDescent="0.2">
      <c r="B12" s="5" t="s">
        <v>9</v>
      </c>
      <c r="C12" s="28">
        <v>446</v>
      </c>
      <c r="D12" s="42">
        <v>471</v>
      </c>
      <c r="E12" s="28">
        <f t="shared" si="0"/>
        <v>-25</v>
      </c>
      <c r="F12" s="42">
        <v>466</v>
      </c>
      <c r="G12" s="28">
        <f t="shared" si="1"/>
        <v>-20</v>
      </c>
      <c r="H12" s="7"/>
    </row>
    <row r="13" spans="2:8" x14ac:dyDescent="0.2">
      <c r="B13" s="5" t="s">
        <v>10</v>
      </c>
      <c r="C13" s="28">
        <v>592</v>
      </c>
      <c r="D13" s="42">
        <v>600</v>
      </c>
      <c r="E13" s="28">
        <f t="shared" si="0"/>
        <v>-8</v>
      </c>
      <c r="F13" s="42">
        <v>559</v>
      </c>
      <c r="G13" s="28">
        <f t="shared" si="1"/>
        <v>33</v>
      </c>
      <c r="H13" s="7"/>
    </row>
    <row r="14" spans="2:8" x14ac:dyDescent="0.2">
      <c r="B14" s="5" t="s">
        <v>11</v>
      </c>
      <c r="C14" s="28">
        <v>760</v>
      </c>
      <c r="D14" s="42">
        <v>758</v>
      </c>
      <c r="E14" s="28">
        <f t="shared" si="0"/>
        <v>2</v>
      </c>
      <c r="F14" s="42">
        <v>725</v>
      </c>
      <c r="G14" s="28">
        <f t="shared" si="1"/>
        <v>35</v>
      </c>
      <c r="H14" s="7"/>
    </row>
    <row r="15" spans="2:8" x14ac:dyDescent="0.2">
      <c r="B15" s="5" t="s">
        <v>12</v>
      </c>
      <c r="C15" s="28">
        <v>687</v>
      </c>
      <c r="D15" s="42">
        <v>712</v>
      </c>
      <c r="E15" s="28">
        <f t="shared" si="0"/>
        <v>-25</v>
      </c>
      <c r="F15" s="42">
        <v>692</v>
      </c>
      <c r="G15" s="28">
        <f t="shared" si="1"/>
        <v>-5</v>
      </c>
      <c r="H15" s="7"/>
    </row>
    <row r="16" spans="2:8" x14ac:dyDescent="0.2">
      <c r="B16" s="5" t="s">
        <v>13</v>
      </c>
      <c r="C16" s="28">
        <v>738</v>
      </c>
      <c r="D16" s="42">
        <v>748</v>
      </c>
      <c r="E16" s="28">
        <f t="shared" si="0"/>
        <v>-10</v>
      </c>
      <c r="F16" s="42">
        <v>677</v>
      </c>
      <c r="G16" s="28">
        <f t="shared" si="1"/>
        <v>61</v>
      </c>
      <c r="H16" s="7"/>
    </row>
    <row r="17" spans="2:8" x14ac:dyDescent="0.2">
      <c r="B17" s="5" t="s">
        <v>14</v>
      </c>
      <c r="C17" s="28">
        <v>756</v>
      </c>
      <c r="D17" s="42">
        <v>741</v>
      </c>
      <c r="E17" s="28">
        <f t="shared" si="0"/>
        <v>15</v>
      </c>
      <c r="F17" s="42">
        <v>696</v>
      </c>
      <c r="G17" s="28">
        <f t="shared" si="1"/>
        <v>60</v>
      </c>
      <c r="H17" s="7"/>
    </row>
    <row r="18" spans="2:8" x14ac:dyDescent="0.2">
      <c r="B18" s="5" t="s">
        <v>15</v>
      </c>
      <c r="C18" s="28">
        <v>571</v>
      </c>
      <c r="D18" s="42">
        <v>591</v>
      </c>
      <c r="E18" s="28">
        <f t="shared" si="0"/>
        <v>-20</v>
      </c>
      <c r="F18" s="42">
        <v>606</v>
      </c>
      <c r="G18" s="28">
        <f t="shared" si="1"/>
        <v>-35</v>
      </c>
      <c r="H18" s="7"/>
    </row>
    <row r="19" spans="2:8" x14ac:dyDescent="0.2">
      <c r="B19" s="5" t="s">
        <v>16</v>
      </c>
      <c r="C19" s="28">
        <v>1100</v>
      </c>
      <c r="D19" s="42">
        <v>1114</v>
      </c>
      <c r="E19" s="28">
        <f t="shared" si="0"/>
        <v>-14</v>
      </c>
      <c r="F19" s="42">
        <v>1129</v>
      </c>
      <c r="G19" s="28">
        <f t="shared" si="1"/>
        <v>-29</v>
      </c>
      <c r="H19" s="7"/>
    </row>
    <row r="20" spans="2:8" x14ac:dyDescent="0.2">
      <c r="B20" s="5" t="s">
        <v>17</v>
      </c>
      <c r="C20" s="28">
        <v>694</v>
      </c>
      <c r="D20" s="42">
        <v>702</v>
      </c>
      <c r="E20" s="28">
        <f t="shared" si="0"/>
        <v>-8</v>
      </c>
      <c r="F20" s="42">
        <v>625</v>
      </c>
      <c r="G20" s="28">
        <f t="shared" si="1"/>
        <v>69</v>
      </c>
      <c r="H20" s="7"/>
    </row>
    <row r="21" spans="2:8" x14ac:dyDescent="0.2">
      <c r="B21" s="5" t="s">
        <v>18</v>
      </c>
      <c r="C21" s="28">
        <v>548</v>
      </c>
      <c r="D21" s="42">
        <v>575</v>
      </c>
      <c r="E21" s="28">
        <f t="shared" si="0"/>
        <v>-27</v>
      </c>
      <c r="F21" s="42">
        <v>493</v>
      </c>
      <c r="G21" s="28">
        <f t="shared" si="1"/>
        <v>55</v>
      </c>
      <c r="H21" s="7"/>
    </row>
    <row r="22" spans="2:8" x14ac:dyDescent="0.2">
      <c r="B22" s="5" t="s">
        <v>19</v>
      </c>
      <c r="C22" s="28">
        <v>767</v>
      </c>
      <c r="D22" s="42">
        <v>778</v>
      </c>
      <c r="E22" s="28">
        <f t="shared" si="0"/>
        <v>-11</v>
      </c>
      <c r="F22" s="42">
        <v>720</v>
      </c>
      <c r="G22" s="28">
        <f t="shared" si="1"/>
        <v>47</v>
      </c>
      <c r="H22" s="7"/>
    </row>
    <row r="23" spans="2:8" x14ac:dyDescent="0.2">
      <c r="B23" s="5" t="s">
        <v>20</v>
      </c>
      <c r="C23" s="28">
        <v>352</v>
      </c>
      <c r="D23" s="42">
        <v>357</v>
      </c>
      <c r="E23" s="28">
        <f t="shared" si="0"/>
        <v>-5</v>
      </c>
      <c r="F23" s="42">
        <v>338</v>
      </c>
      <c r="G23" s="28">
        <f t="shared" si="1"/>
        <v>14</v>
      </c>
      <c r="H23" s="7"/>
    </row>
    <row r="24" spans="2:8" x14ac:dyDescent="0.2">
      <c r="B24" s="5" t="s">
        <v>21</v>
      </c>
      <c r="C24" s="28">
        <v>214</v>
      </c>
      <c r="D24" s="42">
        <v>224</v>
      </c>
      <c r="E24" s="28">
        <f t="shared" si="0"/>
        <v>-10</v>
      </c>
      <c r="F24" s="42">
        <v>218</v>
      </c>
      <c r="G24" s="28">
        <f t="shared" si="1"/>
        <v>-4</v>
      </c>
      <c r="H24" s="7"/>
    </row>
    <row r="25" spans="2:8" x14ac:dyDescent="0.2">
      <c r="B25" s="5" t="s">
        <v>22</v>
      </c>
      <c r="C25" s="28">
        <v>698</v>
      </c>
      <c r="D25" s="42">
        <v>717</v>
      </c>
      <c r="E25" s="28">
        <f t="shared" si="0"/>
        <v>-19</v>
      </c>
      <c r="F25" s="42">
        <v>687</v>
      </c>
      <c r="G25" s="28">
        <f t="shared" si="1"/>
        <v>11</v>
      </c>
      <c r="H25" s="7"/>
    </row>
    <row r="26" spans="2:8" x14ac:dyDescent="0.2">
      <c r="B26" s="5" t="s">
        <v>23</v>
      </c>
      <c r="C26" s="28">
        <v>1319</v>
      </c>
      <c r="D26" s="42">
        <v>1321</v>
      </c>
      <c r="E26" s="28">
        <f t="shared" si="0"/>
        <v>-2</v>
      </c>
      <c r="F26" s="42">
        <v>1330</v>
      </c>
      <c r="G26" s="28">
        <f t="shared" si="1"/>
        <v>-11</v>
      </c>
      <c r="H26" s="7"/>
    </row>
    <row r="27" spans="2:8" x14ac:dyDescent="0.2">
      <c r="B27" s="5" t="s">
        <v>24</v>
      </c>
      <c r="C27" s="28">
        <v>293</v>
      </c>
      <c r="D27" s="42">
        <v>309</v>
      </c>
      <c r="E27" s="28">
        <f t="shared" si="0"/>
        <v>-16</v>
      </c>
      <c r="F27" s="42">
        <v>299</v>
      </c>
      <c r="G27" s="28">
        <f t="shared" si="1"/>
        <v>-6</v>
      </c>
      <c r="H27" s="7"/>
    </row>
    <row r="28" spans="2:8" ht="15" x14ac:dyDescent="0.25">
      <c r="B28" s="39" t="s">
        <v>25</v>
      </c>
      <c r="C28" s="48">
        <f>SUM(C3:C27)</f>
        <v>16615</v>
      </c>
      <c r="D28" s="44">
        <f>SUM(D3:D27)</f>
        <v>16953</v>
      </c>
      <c r="E28" s="48">
        <f>SUM(E3:E27)</f>
        <v>-338</v>
      </c>
      <c r="F28" s="44">
        <f>SUM(F3:F27)</f>
        <v>16289</v>
      </c>
      <c r="G28" s="48">
        <f>SUM(G3:G27)</f>
        <v>326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30-04-'25 r.</v>
      </c>
      <c r="E3" s="36" t="str">
        <f>T('6pow. 50 r.ż.'!D2)</f>
        <v>liczba bezrobotnych 50+ stan na 31-03-'25 r.</v>
      </c>
      <c r="F3" s="36" t="str">
        <f>T('6pow. 50 r.ż.'!E2)</f>
        <v>wzrost/spadek do poprzedniego  miesiąca</v>
      </c>
      <c r="G3" s="36" t="str">
        <f>T('6pow. 50 r.ż.'!F2)</f>
        <v>liczba bezrobotnych 50+ stan na 30-04-'24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214</v>
      </c>
      <c r="E4" s="42">
        <f>INDEX('6pow. 50 r.ż.'!B3:G28,MATCH(1,B4:B29,0),3)</f>
        <v>224</v>
      </c>
      <c r="F4" s="6">
        <f>INDEX('6pow. 50 r.ż.'!B3:G28,MATCH(1,B4:B29,0),4)</f>
        <v>-10</v>
      </c>
      <c r="G4" s="42">
        <f>INDEX('6pow. 50 r.ż.'!B3:G28,MATCH(1,B4:B29,0),5)</f>
        <v>218</v>
      </c>
      <c r="H4" s="6">
        <f>INDEX('6pow. 50 r.ż.'!B3:G28,MATCH(1,B4:B29,0),6)</f>
        <v>-4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243</v>
      </c>
      <c r="E5" s="42">
        <f>INDEX('6pow. 50 r.ż.'!B3:G28,MATCH(2,B4:B29,0),3)</f>
        <v>247</v>
      </c>
      <c r="F5" s="6">
        <f>INDEX('6pow. 50 r.ż.'!B3:G28,MATCH(2,B4:B29,0),4)</f>
        <v>-4</v>
      </c>
      <c r="G5" s="42">
        <f>INDEX('6pow. 50 r.ż.'!B3:G28,MATCH(2,B4:B29,0),5)</f>
        <v>239</v>
      </c>
      <c r="H5" s="6">
        <f>INDEX('6pow. 50 r.ż.'!B3:G28,MATCH(2,B4:B29,0),6)</f>
        <v>4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293</v>
      </c>
      <c r="E6" s="42">
        <f>INDEX('6pow. 50 r.ż.'!B3:G28,MATCH(3,B4:B29,0),3)</f>
        <v>309</v>
      </c>
      <c r="F6" s="6">
        <f>INDEX('6pow. 50 r.ż.'!B3:G28,MATCH(3,B4:B29,0),4)</f>
        <v>-16</v>
      </c>
      <c r="G6" s="42">
        <f>INDEX('6pow. 50 r.ż.'!B3:G28,MATCH(3,B4:B29,0),5)</f>
        <v>299</v>
      </c>
      <c r="H6" s="6">
        <f>INDEX('6pow. 50 r.ż.'!B3:G28,MATCH(3,B4:B29,0),6)</f>
        <v>-6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352</v>
      </c>
      <c r="E7" s="42">
        <f>INDEX('6pow. 50 r.ż.'!B3:G28,MATCH(4,B4:B29,0),3)</f>
        <v>357</v>
      </c>
      <c r="F7" s="6">
        <f>INDEX('6pow. 50 r.ż.'!B3:G28,MATCH(4,B4:B29,0),4)</f>
        <v>-5</v>
      </c>
      <c r="G7" s="42">
        <f>INDEX('6pow. 50 r.ż.'!B3:G28,MATCH(4,B4:B29,0),5)</f>
        <v>338</v>
      </c>
      <c r="H7" s="6">
        <f>INDEX('6pow. 50 r.ż.'!B3:G28,MATCH(4,B4:B29,0),6)</f>
        <v>14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414</v>
      </c>
      <c r="E8" s="42">
        <f>INDEX('6pow. 50 r.ż.'!B3:G28,MATCH(5,B4:B29,0),3)</f>
        <v>422</v>
      </c>
      <c r="F8" s="6">
        <f>INDEX('6pow. 50 r.ż.'!B3:G28,MATCH(5,B4:B29,0),4)</f>
        <v>-8</v>
      </c>
      <c r="G8" s="42">
        <f>INDEX('6pow. 50 r.ż.'!B3:G28,MATCH(5,B4:B29,0),5)</f>
        <v>425</v>
      </c>
      <c r="H8" s="6">
        <f>INDEX('6pow. 50 r.ż.'!B3:G28,MATCH(5,B4:B29,0),6)</f>
        <v>-11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440</v>
      </c>
      <c r="E9" s="42">
        <f>INDEX('6pow. 50 r.ż.'!B3:G28,MATCH(6,B4:B29,0),3)</f>
        <v>457</v>
      </c>
      <c r="F9" s="6">
        <f>INDEX('6pow. 50 r.ż.'!B3:G28,MATCH(6,B4:B29,0),4)</f>
        <v>-17</v>
      </c>
      <c r="G9" s="42">
        <f>INDEX('6pow. 50 r.ż.'!B3:G28,MATCH(6,B4:B29,0),5)</f>
        <v>421</v>
      </c>
      <c r="H9" s="6">
        <f>INDEX('6pow. 50 r.ż.'!B3:G28,MATCH(6,B4:B29,0),6)</f>
        <v>19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446</v>
      </c>
      <c r="E10" s="42">
        <f>INDEX('6pow. 50 r.ż.'!B3:G28,MATCH(7,B4:B29,0),3)</f>
        <v>471</v>
      </c>
      <c r="F10" s="6">
        <f>INDEX('6pow. 50 r.ż.'!B3:G28,MATCH(7,B4:B29,0),4)</f>
        <v>-25</v>
      </c>
      <c r="G10" s="42">
        <f>INDEX('6pow. 50 r.ż.'!B3:G28,MATCH(7,B4:B29,0),5)</f>
        <v>466</v>
      </c>
      <c r="H10" s="6">
        <f>INDEX('6pow. 50 r.ż.'!B3:G28,MATCH(7,B4:B29,0),6)</f>
        <v>-20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526</v>
      </c>
      <c r="E11" s="42">
        <f>INDEX('6pow. 50 r.ż.'!B3:G28,MATCH(8,B4:B29,0),3)</f>
        <v>544</v>
      </c>
      <c r="F11" s="6">
        <f>INDEX('6pow. 50 r.ż.'!B3:G28,MATCH(8,B4:B29,0),4)</f>
        <v>-18</v>
      </c>
      <c r="G11" s="42">
        <f>INDEX('6pow. 50 r.ż.'!B3:G28,MATCH(8,B4:B29,0),5)</f>
        <v>557</v>
      </c>
      <c r="H11" s="6">
        <f>INDEX('6pow. 50 r.ż.'!B3:G28,MATCH(8,B4:B29,0),6)</f>
        <v>-31</v>
      </c>
    </row>
    <row r="12" spans="2:8" x14ac:dyDescent="0.2">
      <c r="B12" s="6">
        <f>RANK('6pow. 50 r.ż.'!C11,'6pow. 50 r.ż.'!$C$3:'6pow. 50 r.ż.'!$C$28,1)+COUNTIF('6pow. 50 r.ż.'!$C$3:'6pow. 50 r.ż.'!C11,'6pow. 50 r.ż.'!C11)-1</f>
        <v>13</v>
      </c>
      <c r="C12" s="5" t="str">
        <f>INDEX('6pow. 50 r.ż.'!B3:G28,MATCH(9,B4:B29,0),1)</f>
        <v>stalowowolski</v>
      </c>
      <c r="D12" s="6">
        <f>INDEX('6pow. 50 r.ż.'!B3:G28,MATCH(9,B4:B29,0),2)</f>
        <v>548</v>
      </c>
      <c r="E12" s="42">
        <f>INDEX('6pow. 50 r.ż.'!B3:G28,MATCH(9,B4:B29,0),3)</f>
        <v>575</v>
      </c>
      <c r="F12" s="6">
        <f>INDEX('6pow. 50 r.ż.'!B3:G28,MATCH(9,B4:B29,0),4)</f>
        <v>-27</v>
      </c>
      <c r="G12" s="42">
        <f>INDEX('6pow. 50 r.ż.'!B3:G28,MATCH(9,B4:B29,0),5)</f>
        <v>493</v>
      </c>
      <c r="H12" s="6">
        <f>INDEX('6pow. 50 r.ż.'!B3:G28,MATCH(9,B4:B29,0),6)</f>
        <v>55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571</v>
      </c>
      <c r="E13" s="42">
        <f>INDEX('6pow. 50 r.ż.'!B3:G28,MATCH(10,B4:B29,0),3)</f>
        <v>591</v>
      </c>
      <c r="F13" s="6">
        <f>INDEX('6pow. 50 r.ż.'!B3:G28,MATCH(10,B4:B29,0),4)</f>
        <v>-20</v>
      </c>
      <c r="G13" s="42">
        <f>INDEX('6pow. 50 r.ż.'!B3:G28,MATCH(10,B4:B29,0),5)</f>
        <v>606</v>
      </c>
      <c r="H13" s="6">
        <f>INDEX('6pow. 50 r.ż.'!B3:G28,MATCH(10,B4:B29,0),6)</f>
        <v>-35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592</v>
      </c>
      <c r="E14" s="42">
        <f>INDEX('6pow. 50 r.ż.'!B3:G28,MATCH(11,B4:B29,0),3)</f>
        <v>600</v>
      </c>
      <c r="F14" s="6">
        <f>INDEX('6pow. 50 r.ż.'!B3:G28,MATCH(11,B4:B29,0),4)</f>
        <v>-8</v>
      </c>
      <c r="G14" s="42">
        <f>INDEX('6pow. 50 r.ż.'!B3:G28,MATCH(11,B4:B29,0),5)</f>
        <v>559</v>
      </c>
      <c r="H14" s="6">
        <f>INDEX('6pow. 50 r.ż.'!B3:G28,MATCH(11,B4:B29,0),6)</f>
        <v>33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krośnieński</v>
      </c>
      <c r="D15" s="6">
        <f>INDEX('6pow. 50 r.ż.'!B3:G28,MATCH(12,B4:B29,0),2)</f>
        <v>666</v>
      </c>
      <c r="E15" s="42">
        <f>INDEX('6pow. 50 r.ż.'!B3:G28,MATCH(12,B4:B29,0),3)</f>
        <v>663</v>
      </c>
      <c r="F15" s="6">
        <f>INDEX('6pow. 50 r.ż.'!B3:G28,MATCH(12,B4:B29,0),4)</f>
        <v>3</v>
      </c>
      <c r="G15" s="42">
        <f>INDEX('6pow. 50 r.ż.'!B3:G28,MATCH(12,B4:B29,0),5)</f>
        <v>600</v>
      </c>
      <c r="H15" s="6">
        <f>INDEX('6pow. 50 r.ż.'!B3:G28,MATCH(12,B4:B29,0),6)</f>
        <v>66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leżajski</v>
      </c>
      <c r="D16" s="6">
        <f>INDEX('6pow. 50 r.ż.'!B3:G28,MATCH(13,B4:B29,0),2)</f>
        <v>677</v>
      </c>
      <c r="E16" s="42">
        <f>INDEX('6pow. 50 r.ż.'!B3:G28,MATCH(13,B4:B29,0),3)</f>
        <v>701</v>
      </c>
      <c r="F16" s="6">
        <f>INDEX('6pow. 50 r.ż.'!B3:G28,MATCH(13,B4:B29,0),4)</f>
        <v>-24</v>
      </c>
      <c r="G16" s="42">
        <f>INDEX('6pow. 50 r.ż.'!B3:G28,MATCH(13,B4:B29,0),5)</f>
        <v>708</v>
      </c>
      <c r="H16" s="6">
        <f>INDEX('6pow. 50 r.ż.'!B3:G28,MATCH(13,B4:B29,0),6)</f>
        <v>-31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niżański</v>
      </c>
      <c r="D17" s="6">
        <f>INDEX('6pow. 50 r.ż.'!B3:G28,MATCH(14,B4:B29,0),2)</f>
        <v>687</v>
      </c>
      <c r="E17" s="42">
        <f>INDEX('6pow. 50 r.ż.'!B3:G28,MATCH(14,B4:B29,0),3)</f>
        <v>712</v>
      </c>
      <c r="F17" s="6">
        <f>INDEX('6pow. 50 r.ż.'!B3:G28,MATCH(14,B4:B29,0),4)</f>
        <v>-25</v>
      </c>
      <c r="G17" s="42">
        <f>INDEX('6pow. 50 r.ż.'!B3:G28,MATCH(14,B4:B29,0),5)</f>
        <v>692</v>
      </c>
      <c r="H17" s="6">
        <f>INDEX('6pow. 50 r.ż.'!B3:G28,MATCH(14,B4:B29,0),6)</f>
        <v>-5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sanocki</v>
      </c>
      <c r="D18" s="6">
        <f>INDEX('6pow. 50 r.ż.'!B3:G28,MATCH(15,B4:B29,0),2)</f>
        <v>694</v>
      </c>
      <c r="E18" s="42">
        <f>INDEX('6pow. 50 r.ż.'!B3:G28,MATCH(15,B4:B29,0),3)</f>
        <v>702</v>
      </c>
      <c r="F18" s="6">
        <f>INDEX('6pow. 50 r.ż.'!B3:G28,MATCH(15,B4:B29,0),4)</f>
        <v>-8</v>
      </c>
      <c r="G18" s="42">
        <f>INDEX('6pow. 50 r.ż.'!B3:G28,MATCH(15,B4:B29,0),5)</f>
        <v>625</v>
      </c>
      <c r="H18" s="6">
        <f>INDEX('6pow. 50 r.ż.'!B3:G28,MATCH(15,B4:B29,0),6)</f>
        <v>69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698</v>
      </c>
      <c r="E19" s="42">
        <f>INDEX('6pow. 50 r.ż.'!B3:G28,MATCH(16,B4:B29,0),3)</f>
        <v>717</v>
      </c>
      <c r="F19" s="6">
        <f>INDEX('6pow. 50 r.ż.'!B3:G28,MATCH(16,B4:B29,0),4)</f>
        <v>-19</v>
      </c>
      <c r="G19" s="42">
        <f>INDEX('6pow. 50 r.ż.'!B3:G28,MATCH(16,B4:B29,0),5)</f>
        <v>687</v>
      </c>
      <c r="H19" s="6">
        <f>INDEX('6pow. 50 r.ż.'!B3:G28,MATCH(16,B4:B29,0),6)</f>
        <v>11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738</v>
      </c>
      <c r="E20" s="42">
        <f>INDEX('6pow. 50 r.ż.'!B3:G28,MATCH(17,B4:B29,0),3)</f>
        <v>748</v>
      </c>
      <c r="F20" s="6">
        <f>INDEX('6pow. 50 r.ż.'!B3:G28,MATCH(17,B4:B29,0),4)</f>
        <v>-10</v>
      </c>
      <c r="G20" s="42">
        <f>INDEX('6pow. 50 r.ż.'!B3:G28,MATCH(17,B4:B29,0),5)</f>
        <v>677</v>
      </c>
      <c r="H20" s="6">
        <f>INDEX('6pow. 50 r.ż.'!B3:G28,MATCH(17,B4:B29,0),6)</f>
        <v>61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przeworski</v>
      </c>
      <c r="D21" s="6">
        <f>INDEX('6pow. 50 r.ż.'!B3:G28,MATCH(18,B4:B29,0),2)</f>
        <v>756</v>
      </c>
      <c r="E21" s="42">
        <f>INDEX('6pow. 50 r.ż.'!B3:G28,MATCH(18,B4:B29,0),3)</f>
        <v>741</v>
      </c>
      <c r="F21" s="6">
        <f>INDEX('6pow. 50 r.ż.'!B3:G28,MATCH(18,B4:B29,0),4)</f>
        <v>15</v>
      </c>
      <c r="G21" s="42">
        <f>INDEX('6pow. 50 r.ż.'!B3:G28,MATCH(18,B4:B29,0),5)</f>
        <v>696</v>
      </c>
      <c r="H21" s="6">
        <f>INDEX('6pow. 50 r.ż.'!B3:G28,MATCH(18,B4:B29,0),6)</f>
        <v>60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mielecki</v>
      </c>
      <c r="D22" s="6">
        <f>INDEX('6pow. 50 r.ż.'!B3:G28,MATCH(19,B4:B29,0),2)</f>
        <v>760</v>
      </c>
      <c r="E22" s="42">
        <f>INDEX('6pow. 50 r.ż.'!B3:G28,MATCH(19,B4:B29,0),3)</f>
        <v>758</v>
      </c>
      <c r="F22" s="6">
        <f>INDEX('6pow. 50 r.ż.'!B3:G28,MATCH(19,B4:B29,0),4)</f>
        <v>2</v>
      </c>
      <c r="G22" s="42">
        <f>INDEX('6pow. 50 r.ż.'!B3:G28,MATCH(19,B4:B29,0),5)</f>
        <v>725</v>
      </c>
      <c r="H22" s="6">
        <f>INDEX('6pow. 50 r.ż.'!B3:G28,MATCH(19,B4:B29,0),6)</f>
        <v>35</v>
      </c>
    </row>
    <row r="23" spans="2:8" x14ac:dyDescent="0.2">
      <c r="B23" s="6">
        <f>RANK('6pow. 50 r.ż.'!C22,'6pow. 50 r.ż.'!$C$3:'6pow. 50 r.ż.'!$C$28,1)+COUNTIF('6pow. 50 r.ż.'!$C$3:'6pow. 50 r.ż.'!C22,'6pow. 50 r.ż.'!C22)-1</f>
        <v>20</v>
      </c>
      <c r="C23" s="5" t="str">
        <f>INDEX('6pow. 50 r.ż.'!B3:G28,MATCH(20,B4:B29,0),1)</f>
        <v>strzyżowski</v>
      </c>
      <c r="D23" s="6">
        <f>INDEX('6pow. 50 r.ż.'!B3:G28,MATCH(20,B4:B29,0),2)</f>
        <v>767</v>
      </c>
      <c r="E23" s="42">
        <f>INDEX('6pow. 50 r.ż.'!B3:G28,MATCH(20,B4:B29,0),3)</f>
        <v>778</v>
      </c>
      <c r="F23" s="6">
        <f>INDEX('6pow. 50 r.ż.'!B3:G28,MATCH(20,B4:B29,0),4)</f>
        <v>-11</v>
      </c>
      <c r="G23" s="42">
        <f>INDEX('6pow. 50 r.ż.'!B3:G28,MATCH(20,B4:B29,0),5)</f>
        <v>720</v>
      </c>
      <c r="H23" s="6">
        <f>INDEX('6pow. 50 r.ż.'!B3:G28,MATCH(20,B4:B29,0),6)</f>
        <v>47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873</v>
      </c>
      <c r="E24" s="42">
        <f>INDEX('6pow. 50 r.ż.'!B3:G28,MATCH(21,B4:B29,0),3)</f>
        <v>906</v>
      </c>
      <c r="F24" s="6">
        <f>INDEX('6pow. 50 r.ż.'!B3:G28,MATCH(21,B4:B29,0),4)</f>
        <v>-33</v>
      </c>
      <c r="G24" s="42">
        <f>INDEX('6pow. 50 r.ż.'!B3:G28,MATCH(21,B4:B29,0),5)</f>
        <v>902</v>
      </c>
      <c r="H24" s="6">
        <f>INDEX('6pow. 50 r.ż.'!B3:G28,MATCH(21,B4:B29,0),6)</f>
        <v>-29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1100</v>
      </c>
      <c r="E25" s="42">
        <f>INDEX('6pow. 50 r.ż.'!B3:G28,MATCH(22,B4:B29,0),3)</f>
        <v>1114</v>
      </c>
      <c r="F25" s="6">
        <f>INDEX('6pow. 50 r.ż.'!B3:G28,MATCH(22,B4:B29,0),4)</f>
        <v>-14</v>
      </c>
      <c r="G25" s="42">
        <f>INDEX('6pow. 50 r.ż.'!B3:G28,MATCH(22,B4:B29,0),5)</f>
        <v>1129</v>
      </c>
      <c r="H25" s="6">
        <f>INDEX('6pow. 50 r.ż.'!B3:G28,MATCH(22,B4:B29,0),6)</f>
        <v>-29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1116</v>
      </c>
      <c r="E26" s="42">
        <f>INDEX('6pow. 50 r.ż.'!B3:G28,MATCH(23,B4:B29,0),3)</f>
        <v>1117</v>
      </c>
      <c r="F26" s="6">
        <f>INDEX('6pow. 50 r.ż.'!B3:G28,MATCH(23,B4:B29,0),4)</f>
        <v>-1</v>
      </c>
      <c r="G26" s="42">
        <f>INDEX('6pow. 50 r.ż.'!B3:G28,MATCH(23,B4:B29,0),5)</f>
        <v>1058</v>
      </c>
      <c r="H26" s="6">
        <f>INDEX('6pow. 50 r.ż.'!B3:G28,MATCH(23,B4:B29,0),6)</f>
        <v>58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1125</v>
      </c>
      <c r="E27" s="42">
        <f>INDEX('6pow. 50 r.ż.'!B3:G28,MATCH(24,B4:B29,0),3)</f>
        <v>1178</v>
      </c>
      <c r="F27" s="6">
        <f>INDEX('6pow. 50 r.ż.'!B3:G28,MATCH(24,B4:B29,0),4)</f>
        <v>-53</v>
      </c>
      <c r="G27" s="42">
        <f>INDEX('6pow. 50 r.ż.'!B3:G28,MATCH(24,B4:B29,0),5)</f>
        <v>1119</v>
      </c>
      <c r="H27" s="6">
        <f>INDEX('6pow. 50 r.ż.'!B3:G28,MATCH(24,B4:B29,0),6)</f>
        <v>6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1319</v>
      </c>
      <c r="E28" s="42">
        <f>INDEX('6pow. 50 r.ż.'!B3:G28,MATCH(25,B4:B29,0),3)</f>
        <v>1321</v>
      </c>
      <c r="F28" s="6">
        <f>INDEX('6pow. 50 r.ż.'!B3:G28,MATCH(25,B4:B29,0),4)</f>
        <v>-2</v>
      </c>
      <c r="G28" s="42">
        <f>INDEX('6pow. 50 r.ż.'!B3:G28,MATCH(25,B4:B29,0),5)</f>
        <v>1330</v>
      </c>
      <c r="H28" s="6">
        <f>INDEX('6pow. 50 r.ż.'!B3:G28,MATCH(25,B4:B29,0),6)</f>
        <v>-11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16615</v>
      </c>
      <c r="E29" s="44">
        <f>INDEX('6pow. 50 r.ż.'!B3:G28,MATCH(26,B4:B29,0),3)</f>
        <v>16953</v>
      </c>
      <c r="F29" s="40">
        <f>INDEX('6pow. 50 r.ż.'!B3:G28,MATCH(26,B4:B29,0),4)</f>
        <v>-338</v>
      </c>
      <c r="G29" s="44">
        <f>INDEX('6pow. 50 r.ż.'!B3:G28,MATCH(26,B4:B29,0),5)</f>
        <v>16289</v>
      </c>
      <c r="H29" s="40">
        <f>INDEX('6pow. 50 r.ż.'!B3:G28,MATCH(26,B4:B29,0),6)</f>
        <v>326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92</v>
      </c>
      <c r="D2" s="38" t="s">
        <v>74</v>
      </c>
      <c r="E2" s="37" t="s">
        <v>28</v>
      </c>
      <c r="F2" s="38" t="s">
        <v>93</v>
      </c>
      <c r="G2" s="37" t="s">
        <v>26</v>
      </c>
    </row>
    <row r="3" spans="2:8" x14ac:dyDescent="0.2">
      <c r="B3" s="5" t="s">
        <v>0</v>
      </c>
      <c r="C3" s="28">
        <v>11</v>
      </c>
      <c r="D3" s="42">
        <v>38</v>
      </c>
      <c r="E3" s="28">
        <f t="shared" ref="E3:E27" si="0">SUM(C3)-D3</f>
        <v>-27</v>
      </c>
      <c r="F3" s="42">
        <v>23</v>
      </c>
      <c r="G3" s="28">
        <f t="shared" ref="G3:G27" si="1">SUM(C3)-F3</f>
        <v>-12</v>
      </c>
      <c r="H3" s="7"/>
    </row>
    <row r="4" spans="2:8" x14ac:dyDescent="0.2">
      <c r="B4" s="5" t="s">
        <v>1</v>
      </c>
      <c r="C4" s="28">
        <v>79</v>
      </c>
      <c r="D4" s="42">
        <v>156</v>
      </c>
      <c r="E4" s="28">
        <f t="shared" si="0"/>
        <v>-77</v>
      </c>
      <c r="F4" s="42">
        <v>96</v>
      </c>
      <c r="G4" s="28">
        <f t="shared" si="1"/>
        <v>-17</v>
      </c>
      <c r="H4" s="7"/>
    </row>
    <row r="5" spans="2:8" x14ac:dyDescent="0.2">
      <c r="B5" s="5" t="s">
        <v>2</v>
      </c>
      <c r="C5" s="28">
        <v>230</v>
      </c>
      <c r="D5" s="42">
        <v>295</v>
      </c>
      <c r="E5" s="28">
        <f t="shared" si="0"/>
        <v>-65</v>
      </c>
      <c r="F5" s="42">
        <v>339</v>
      </c>
      <c r="G5" s="28">
        <f t="shared" si="1"/>
        <v>-109</v>
      </c>
      <c r="H5" s="7"/>
    </row>
    <row r="6" spans="2:8" x14ac:dyDescent="0.2">
      <c r="B6" s="5" t="s">
        <v>3</v>
      </c>
      <c r="C6" s="28">
        <v>134</v>
      </c>
      <c r="D6" s="42">
        <v>212</v>
      </c>
      <c r="E6" s="28">
        <f t="shared" si="0"/>
        <v>-78</v>
      </c>
      <c r="F6" s="42">
        <v>181</v>
      </c>
      <c r="G6" s="28">
        <f t="shared" si="1"/>
        <v>-47</v>
      </c>
      <c r="H6" s="7"/>
    </row>
    <row r="7" spans="2:8" x14ac:dyDescent="0.2">
      <c r="B7" s="5" t="s">
        <v>4</v>
      </c>
      <c r="C7" s="28">
        <v>269</v>
      </c>
      <c r="D7" s="42">
        <v>260</v>
      </c>
      <c r="E7" s="28">
        <f t="shared" si="0"/>
        <v>9</v>
      </c>
      <c r="F7" s="42">
        <v>254</v>
      </c>
      <c r="G7" s="28">
        <f t="shared" si="1"/>
        <v>15</v>
      </c>
      <c r="H7" s="7"/>
    </row>
    <row r="8" spans="2:8" x14ac:dyDescent="0.2">
      <c r="B8" s="5" t="s">
        <v>5</v>
      </c>
      <c r="C8" s="28">
        <v>65</v>
      </c>
      <c r="D8" s="42">
        <v>86</v>
      </c>
      <c r="E8" s="28">
        <f t="shared" si="0"/>
        <v>-21</v>
      </c>
      <c r="F8" s="42">
        <v>91</v>
      </c>
      <c r="G8" s="28">
        <f t="shared" si="1"/>
        <v>-26</v>
      </c>
      <c r="H8" s="7"/>
    </row>
    <row r="9" spans="2:8" x14ac:dyDescent="0.2">
      <c r="B9" s="9" t="s">
        <v>6</v>
      </c>
      <c r="C9" s="28">
        <v>78</v>
      </c>
      <c r="D9" s="42">
        <v>66</v>
      </c>
      <c r="E9" s="28">
        <f t="shared" si="0"/>
        <v>12</v>
      </c>
      <c r="F9" s="42">
        <v>131</v>
      </c>
      <c r="G9" s="28">
        <f t="shared" si="1"/>
        <v>-53</v>
      </c>
      <c r="H9" s="7"/>
    </row>
    <row r="10" spans="2:8" x14ac:dyDescent="0.2">
      <c r="B10" s="5" t="s">
        <v>7</v>
      </c>
      <c r="C10" s="28">
        <v>42</v>
      </c>
      <c r="D10" s="42">
        <v>64</v>
      </c>
      <c r="E10" s="28">
        <f t="shared" si="0"/>
        <v>-22</v>
      </c>
      <c r="F10" s="42">
        <v>68</v>
      </c>
      <c r="G10" s="28">
        <f t="shared" si="1"/>
        <v>-26</v>
      </c>
      <c r="H10" s="7"/>
    </row>
    <row r="11" spans="2:8" x14ac:dyDescent="0.2">
      <c r="B11" s="5" t="s">
        <v>8</v>
      </c>
      <c r="C11" s="28">
        <v>148</v>
      </c>
      <c r="D11" s="42">
        <v>196</v>
      </c>
      <c r="E11" s="28">
        <f t="shared" si="0"/>
        <v>-48</v>
      </c>
      <c r="F11" s="42">
        <v>165</v>
      </c>
      <c r="G11" s="28">
        <f t="shared" si="1"/>
        <v>-17</v>
      </c>
      <c r="H11" s="7"/>
    </row>
    <row r="12" spans="2:8" x14ac:dyDescent="0.2">
      <c r="B12" s="5" t="s">
        <v>9</v>
      </c>
      <c r="C12" s="28">
        <v>68</v>
      </c>
      <c r="D12" s="42">
        <v>152</v>
      </c>
      <c r="E12" s="28">
        <f t="shared" si="0"/>
        <v>-84</v>
      </c>
      <c r="F12" s="42">
        <v>100</v>
      </c>
      <c r="G12" s="28">
        <f t="shared" si="1"/>
        <v>-32</v>
      </c>
      <c r="H12" s="7"/>
    </row>
    <row r="13" spans="2:8" x14ac:dyDescent="0.2">
      <c r="B13" s="5" t="s">
        <v>10</v>
      </c>
      <c r="C13" s="28">
        <v>74</v>
      </c>
      <c r="D13" s="42">
        <v>130</v>
      </c>
      <c r="E13" s="28">
        <f t="shared" si="0"/>
        <v>-56</v>
      </c>
      <c r="F13" s="42">
        <v>93</v>
      </c>
      <c r="G13" s="28">
        <f t="shared" si="1"/>
        <v>-19</v>
      </c>
      <c r="H13" s="7"/>
    </row>
    <row r="14" spans="2:8" x14ac:dyDescent="0.2">
      <c r="B14" s="5" t="s">
        <v>11</v>
      </c>
      <c r="C14" s="28">
        <v>257</v>
      </c>
      <c r="D14" s="42">
        <v>238</v>
      </c>
      <c r="E14" s="28">
        <f t="shared" si="0"/>
        <v>19</v>
      </c>
      <c r="F14" s="42">
        <v>299</v>
      </c>
      <c r="G14" s="28">
        <f t="shared" si="1"/>
        <v>-42</v>
      </c>
      <c r="H14" s="7"/>
    </row>
    <row r="15" spans="2:8" x14ac:dyDescent="0.2">
      <c r="B15" s="5" t="s">
        <v>12</v>
      </c>
      <c r="C15" s="28">
        <v>84</v>
      </c>
      <c r="D15" s="42">
        <v>209</v>
      </c>
      <c r="E15" s="28">
        <f t="shared" si="0"/>
        <v>-125</v>
      </c>
      <c r="F15" s="42">
        <v>47</v>
      </c>
      <c r="G15" s="28">
        <f t="shared" si="1"/>
        <v>37</v>
      </c>
      <c r="H15" s="7"/>
    </row>
    <row r="16" spans="2:8" x14ac:dyDescent="0.2">
      <c r="B16" s="5" t="s">
        <v>13</v>
      </c>
      <c r="C16" s="28">
        <v>44</v>
      </c>
      <c r="D16" s="42">
        <v>46</v>
      </c>
      <c r="E16" s="28">
        <f t="shared" si="0"/>
        <v>-2</v>
      </c>
      <c r="F16" s="42">
        <v>46</v>
      </c>
      <c r="G16" s="28">
        <f t="shared" si="1"/>
        <v>-2</v>
      </c>
      <c r="H16" s="7"/>
    </row>
    <row r="17" spans="2:8" x14ac:dyDescent="0.2">
      <c r="B17" s="5" t="s">
        <v>14</v>
      </c>
      <c r="C17" s="28">
        <v>245</v>
      </c>
      <c r="D17" s="42">
        <v>222</v>
      </c>
      <c r="E17" s="28">
        <f t="shared" si="0"/>
        <v>23</v>
      </c>
      <c r="F17" s="42">
        <v>167</v>
      </c>
      <c r="G17" s="28">
        <f t="shared" si="1"/>
        <v>78</v>
      </c>
      <c r="H17" s="7"/>
    </row>
    <row r="18" spans="2:8" x14ac:dyDescent="0.2">
      <c r="B18" s="5" t="s">
        <v>15</v>
      </c>
      <c r="C18" s="28">
        <v>98</v>
      </c>
      <c r="D18" s="42">
        <v>107</v>
      </c>
      <c r="E18" s="28">
        <f t="shared" si="0"/>
        <v>-9</v>
      </c>
      <c r="F18" s="42">
        <v>94</v>
      </c>
      <c r="G18" s="28">
        <f t="shared" si="1"/>
        <v>4</v>
      </c>
      <c r="H18" s="7"/>
    </row>
    <row r="19" spans="2:8" x14ac:dyDescent="0.2">
      <c r="B19" s="5" t="s">
        <v>16</v>
      </c>
      <c r="C19" s="28">
        <v>146</v>
      </c>
      <c r="D19" s="42">
        <v>128</v>
      </c>
      <c r="E19" s="28">
        <f t="shared" si="0"/>
        <v>18</v>
      </c>
      <c r="F19" s="42">
        <v>231</v>
      </c>
      <c r="G19" s="28">
        <f t="shared" si="1"/>
        <v>-85</v>
      </c>
      <c r="H19" s="7"/>
    </row>
    <row r="20" spans="2:8" x14ac:dyDescent="0.2">
      <c r="B20" s="5" t="s">
        <v>17</v>
      </c>
      <c r="C20" s="28">
        <v>98</v>
      </c>
      <c r="D20" s="42">
        <v>79</v>
      </c>
      <c r="E20" s="28">
        <f t="shared" si="0"/>
        <v>19</v>
      </c>
      <c r="F20" s="42">
        <v>78</v>
      </c>
      <c r="G20" s="28">
        <f t="shared" si="1"/>
        <v>20</v>
      </c>
      <c r="H20" s="7"/>
    </row>
    <row r="21" spans="2:8" x14ac:dyDescent="0.2">
      <c r="B21" s="5" t="s">
        <v>18</v>
      </c>
      <c r="C21" s="28">
        <v>96</v>
      </c>
      <c r="D21" s="42">
        <v>138</v>
      </c>
      <c r="E21" s="28">
        <f t="shared" si="0"/>
        <v>-42</v>
      </c>
      <c r="F21" s="42">
        <v>130</v>
      </c>
      <c r="G21" s="28">
        <f t="shared" si="1"/>
        <v>-34</v>
      </c>
      <c r="H21" s="7"/>
    </row>
    <row r="22" spans="2:8" x14ac:dyDescent="0.2">
      <c r="B22" s="5" t="s">
        <v>19</v>
      </c>
      <c r="C22" s="28">
        <v>188</v>
      </c>
      <c r="D22" s="42">
        <v>158</v>
      </c>
      <c r="E22" s="28">
        <f t="shared" si="0"/>
        <v>30</v>
      </c>
      <c r="F22" s="42">
        <v>58</v>
      </c>
      <c r="G22" s="28">
        <f t="shared" si="1"/>
        <v>130</v>
      </c>
      <c r="H22" s="7"/>
    </row>
    <row r="23" spans="2:8" x14ac:dyDescent="0.2">
      <c r="B23" s="5" t="s">
        <v>20</v>
      </c>
      <c r="C23" s="28">
        <v>65</v>
      </c>
      <c r="D23" s="42">
        <v>98</v>
      </c>
      <c r="E23" s="28">
        <f t="shared" si="0"/>
        <v>-33</v>
      </c>
      <c r="F23" s="42">
        <v>69</v>
      </c>
      <c r="G23" s="28">
        <f t="shared" si="1"/>
        <v>-4</v>
      </c>
      <c r="H23" s="7"/>
    </row>
    <row r="24" spans="2:8" x14ac:dyDescent="0.2">
      <c r="B24" s="5" t="s">
        <v>21</v>
      </c>
      <c r="C24" s="28">
        <v>86</v>
      </c>
      <c r="D24" s="42">
        <v>87</v>
      </c>
      <c r="E24" s="28">
        <f t="shared" si="0"/>
        <v>-1</v>
      </c>
      <c r="F24" s="42">
        <v>141</v>
      </c>
      <c r="G24" s="28">
        <f t="shared" si="1"/>
        <v>-55</v>
      </c>
      <c r="H24" s="7"/>
    </row>
    <row r="25" spans="2:8" x14ac:dyDescent="0.2">
      <c r="B25" s="5" t="s">
        <v>22</v>
      </c>
      <c r="C25" s="28">
        <v>45</v>
      </c>
      <c r="D25" s="42">
        <v>91</v>
      </c>
      <c r="E25" s="28">
        <f t="shared" si="0"/>
        <v>-46</v>
      </c>
      <c r="F25" s="42">
        <v>54</v>
      </c>
      <c r="G25" s="28">
        <f t="shared" si="1"/>
        <v>-9</v>
      </c>
      <c r="H25" s="7"/>
    </row>
    <row r="26" spans="2:8" x14ac:dyDescent="0.2">
      <c r="B26" s="5" t="s">
        <v>23</v>
      </c>
      <c r="C26" s="28">
        <v>370</v>
      </c>
      <c r="D26" s="42">
        <v>454</v>
      </c>
      <c r="E26" s="28">
        <f t="shared" si="0"/>
        <v>-84</v>
      </c>
      <c r="F26" s="42">
        <v>584</v>
      </c>
      <c r="G26" s="28">
        <f t="shared" si="1"/>
        <v>-214</v>
      </c>
      <c r="H26" s="7"/>
    </row>
    <row r="27" spans="2:8" x14ac:dyDescent="0.2">
      <c r="B27" s="5" t="s">
        <v>24</v>
      </c>
      <c r="C27" s="28">
        <v>48</v>
      </c>
      <c r="D27" s="42">
        <v>89</v>
      </c>
      <c r="E27" s="28">
        <f t="shared" si="0"/>
        <v>-41</v>
      </c>
      <c r="F27" s="42">
        <v>82</v>
      </c>
      <c r="G27" s="28">
        <f t="shared" si="1"/>
        <v>-34</v>
      </c>
      <c r="H27" s="7"/>
    </row>
    <row r="28" spans="2:8" ht="17.25" customHeight="1" x14ac:dyDescent="0.25">
      <c r="B28" s="39" t="s">
        <v>25</v>
      </c>
      <c r="C28" s="48">
        <f>SUM(C3:C27)</f>
        <v>3068</v>
      </c>
      <c r="D28" s="44">
        <f>SUM(D3:D27)</f>
        <v>3799</v>
      </c>
      <c r="E28" s="48">
        <f>SUM(E3:E27)</f>
        <v>-731</v>
      </c>
      <c r="F28" s="44">
        <f>SUM(F3:F27)</f>
        <v>3621</v>
      </c>
      <c r="G28" s="48">
        <f>SUM(G3:G27)</f>
        <v>-553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04-'25 r.</v>
      </c>
      <c r="E3" s="36" t="str">
        <f>T('7oferty p.'!D2)</f>
        <v>liczba ofert w 03-'25 r.</v>
      </c>
      <c r="F3" s="36" t="str">
        <f>T('7oferty p.'!E2)</f>
        <v>wzrost/spadek do poprzedniego  miesiąca</v>
      </c>
      <c r="G3" s="36" t="str">
        <f>T('7oferty p.'!F2)</f>
        <v>liczba ofert w 04-'24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11</v>
      </c>
      <c r="E4" s="42">
        <f>INDEX('7oferty p.'!B3:G28,MATCH(1,B4:B29,0),3)</f>
        <v>38</v>
      </c>
      <c r="F4" s="6">
        <f>INDEX('7oferty p.'!B3:G28,MATCH(1,B4:B29,0),4)</f>
        <v>-27</v>
      </c>
      <c r="G4" s="42">
        <f>INDEX('7oferty p.'!B3:G28,MATCH(1,B4:B29,0),5)</f>
        <v>23</v>
      </c>
      <c r="H4" s="6">
        <f>INDEX('7oferty p.'!B3:G28,MATCH(1,B4:B29,0),6)</f>
        <v>-12</v>
      </c>
    </row>
    <row r="5" spans="2:8" x14ac:dyDescent="0.2">
      <c r="B5" s="6">
        <f>RANK('7oferty p.'!C4,'7oferty p.'!$C$3:'7oferty p.'!$C$28,1)+COUNTIF('7oferty p.'!$C$3:'7oferty p.'!C4,'7oferty p.'!C4)-1</f>
        <v>11</v>
      </c>
      <c r="C5" s="5" t="str">
        <f>INDEX('7oferty p.'!B3:G28,MATCH(2,B4:B29,0),1)</f>
        <v>leski</v>
      </c>
      <c r="D5" s="6">
        <f>INDEX('7oferty p.'!B3:G28,MATCH(2,B4:B29,0),2)</f>
        <v>42</v>
      </c>
      <c r="E5" s="42">
        <f>INDEX('7oferty p.'!B3:G28,MATCH(2,B4:B29,0),3)</f>
        <v>64</v>
      </c>
      <c r="F5" s="6">
        <f>INDEX('7oferty p.'!B3:G28,MATCH(2,B4:B29,0),4)</f>
        <v>-22</v>
      </c>
      <c r="G5" s="42">
        <f>INDEX('7oferty p.'!B3:G28,MATCH(2,B4:B29,0),5)</f>
        <v>68</v>
      </c>
      <c r="H5" s="6">
        <f>INDEX('7oferty p.'!B3:G28,MATCH(2,B4:B29,0),6)</f>
        <v>-26</v>
      </c>
    </row>
    <row r="6" spans="2:8" x14ac:dyDescent="0.2">
      <c r="B6" s="6">
        <f>RANK('7oferty p.'!C5,'7oferty p.'!$C$3:'7oferty p.'!$C$28,1)+COUNTIF('7oferty p.'!$C$3:'7oferty p.'!C5,'7oferty p.'!C5)-1</f>
        <v>21</v>
      </c>
      <c r="C6" s="5" t="str">
        <f>INDEX('7oferty p.'!B3:G28,MATCH(3,B4:B29,0),1)</f>
        <v>przemyski</v>
      </c>
      <c r="D6" s="6">
        <f>INDEX('7oferty p.'!B3:G28,MATCH(3,B4:B29,0),2)</f>
        <v>44</v>
      </c>
      <c r="E6" s="42">
        <f>INDEX('7oferty p.'!B3:G28,MATCH(3,B4:B29,0),3)</f>
        <v>46</v>
      </c>
      <c r="F6" s="6">
        <f>INDEX('7oferty p.'!B3:G28,MATCH(3,B4:B29,0),4)</f>
        <v>-2</v>
      </c>
      <c r="G6" s="42">
        <f>INDEX('7oferty p.'!B3:G28,MATCH(3,B4:B29,0),5)</f>
        <v>46</v>
      </c>
      <c r="H6" s="6">
        <f>INDEX('7oferty p.'!B3:G28,MATCH(3,B4:B29,0),6)</f>
        <v>-2</v>
      </c>
    </row>
    <row r="7" spans="2:8" x14ac:dyDescent="0.2">
      <c r="B7" s="6">
        <f>RANK('7oferty p.'!C6,'7oferty p.'!$C$3:'7oferty p.'!$C$28,1)+COUNTIF('7oferty p.'!$C$3:'7oferty p.'!C6,'7oferty p.'!C6)-1</f>
        <v>17</v>
      </c>
      <c r="C7" s="5" t="str">
        <f>INDEX('7oferty p.'!B3:G28,MATCH(4,B4:B29,0),1)</f>
        <v>Przemyśl</v>
      </c>
      <c r="D7" s="6">
        <f>INDEX('7oferty p.'!B3:G28,MATCH(4,B4:B29,0),2)</f>
        <v>45</v>
      </c>
      <c r="E7" s="42">
        <f>INDEX('7oferty p.'!B3:G28,MATCH(4,B4:B29,0),3)</f>
        <v>91</v>
      </c>
      <c r="F7" s="6">
        <f>INDEX('7oferty p.'!B3:G28,MATCH(4,B4:B29,0),4)</f>
        <v>-46</v>
      </c>
      <c r="G7" s="42">
        <f>INDEX('7oferty p.'!B3:G28,MATCH(4,B4:B29,0),5)</f>
        <v>54</v>
      </c>
      <c r="H7" s="6">
        <f>INDEX('7oferty p.'!B3:G28,MATCH(4,B4:B29,0),6)</f>
        <v>-9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Tarnobrzeg</v>
      </c>
      <c r="D8" s="6">
        <f>INDEX('7oferty p.'!B3:G28,MATCH(5,B4:B29,0),2)</f>
        <v>48</v>
      </c>
      <c r="E8" s="42">
        <f>INDEX('7oferty p.'!B3:G28,MATCH(5,B4:B29,0),3)</f>
        <v>89</v>
      </c>
      <c r="F8" s="6">
        <f>INDEX('7oferty p.'!B3:G28,MATCH(5,B4:B29,0),4)</f>
        <v>-41</v>
      </c>
      <c r="G8" s="42">
        <f>INDEX('7oferty p.'!B3:G28,MATCH(5,B4:B29,0),5)</f>
        <v>82</v>
      </c>
      <c r="H8" s="6">
        <f>INDEX('7oferty p.'!B3:G28,MATCH(5,B4:B29,0),6)</f>
        <v>-34</v>
      </c>
    </row>
    <row r="9" spans="2:8" x14ac:dyDescent="0.2">
      <c r="B9" s="6">
        <f>RANK('7oferty p.'!C8,'7oferty p.'!$C$3:'7oferty p.'!$C$28,1)+COUNTIF('7oferty p.'!$C$3:'7oferty p.'!C8,'7oferty p.'!C8)-1</f>
        <v>6</v>
      </c>
      <c r="C9" s="5" t="str">
        <f>INDEX('7oferty p.'!B3:G28,MATCH(6,B4:B29,0),1)</f>
        <v>kolbuszowski</v>
      </c>
      <c r="D9" s="6">
        <f>INDEX('7oferty p.'!B3:G28,MATCH(6,B4:B29,0),2)</f>
        <v>65</v>
      </c>
      <c r="E9" s="42">
        <f>INDEX('7oferty p.'!B3:G28,MATCH(6,B4:B29,0),3)</f>
        <v>86</v>
      </c>
      <c r="F9" s="6">
        <f>INDEX('7oferty p.'!B3:G28,MATCH(6,B4:B29,0),4)</f>
        <v>-21</v>
      </c>
      <c r="G9" s="42">
        <f>INDEX('7oferty p.'!B3:G28,MATCH(6,B4:B29,0),5)</f>
        <v>91</v>
      </c>
      <c r="H9" s="6">
        <f>INDEX('7oferty p.'!B3:G28,MATCH(6,B4:B29,0),6)</f>
        <v>-26</v>
      </c>
    </row>
    <row r="10" spans="2:8" x14ac:dyDescent="0.2">
      <c r="B10" s="6">
        <f>RANK('7oferty p.'!C9,'7oferty p.'!$C$3:'7oferty p.'!$C$28,1)+COUNTIF('7oferty p.'!$C$3:'7oferty p.'!C9,'7oferty p.'!C9)-1</f>
        <v>10</v>
      </c>
      <c r="C10" s="9" t="str">
        <f>INDEX('7oferty p.'!B3:G28,MATCH(7,B4:B29,0),1)</f>
        <v xml:space="preserve">tarnobrzeski </v>
      </c>
      <c r="D10" s="6">
        <f>INDEX('7oferty p.'!B3:G28,MATCH(7,B4:B29,0),2)</f>
        <v>65</v>
      </c>
      <c r="E10" s="42">
        <f>INDEX('7oferty p.'!B3:G28,MATCH(7,B4:B29,0),3)</f>
        <v>98</v>
      </c>
      <c r="F10" s="6">
        <f>INDEX('7oferty p.'!B3:G28,MATCH(7,B4:B29,0),4)</f>
        <v>-33</v>
      </c>
      <c r="G10" s="42">
        <f>INDEX('7oferty p.'!B3:G28,MATCH(7,B4:B29,0),5)</f>
        <v>69</v>
      </c>
      <c r="H10" s="6">
        <f>INDEX('7oferty p.'!B3:G28,MATCH(7,B4:B29,0),6)</f>
        <v>-4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lubaczowski</v>
      </c>
      <c r="D11" s="6">
        <f>INDEX('7oferty p.'!B3:G28,MATCH(8,B4:B29,0),2)</f>
        <v>68</v>
      </c>
      <c r="E11" s="42">
        <f>INDEX('7oferty p.'!B3:G28,MATCH(8,B4:B29,0),3)</f>
        <v>152</v>
      </c>
      <c r="F11" s="6">
        <f>INDEX('7oferty p.'!B3:G28,MATCH(8,B4:B29,0),4)</f>
        <v>-84</v>
      </c>
      <c r="G11" s="42">
        <f>INDEX('7oferty p.'!B3:G28,MATCH(8,B4:B29,0),5)</f>
        <v>100</v>
      </c>
      <c r="H11" s="6">
        <f>INDEX('7oferty p.'!B3:G28,MATCH(8,B4:B29,0),6)</f>
        <v>-32</v>
      </c>
    </row>
    <row r="12" spans="2:8" x14ac:dyDescent="0.2">
      <c r="B12" s="6">
        <f>RANK('7oferty p.'!C11,'7oferty p.'!$C$3:'7oferty p.'!$C$28,1)+COUNTIF('7oferty p.'!$C$3:'7oferty p.'!C11,'7oferty p.'!C11)-1</f>
        <v>19</v>
      </c>
      <c r="C12" s="5" t="str">
        <f>INDEX('7oferty p.'!B3:G28,MATCH(9,B4:B29,0),1)</f>
        <v>łańcucki</v>
      </c>
      <c r="D12" s="6">
        <f>INDEX('7oferty p.'!B3:G28,MATCH(9,B4:B29,0),2)</f>
        <v>74</v>
      </c>
      <c r="E12" s="42">
        <f>INDEX('7oferty p.'!B3:G28,MATCH(9,B4:B29,0),3)</f>
        <v>130</v>
      </c>
      <c r="F12" s="6">
        <f>INDEX('7oferty p.'!B3:G28,MATCH(9,B4:B29,0),4)</f>
        <v>-56</v>
      </c>
      <c r="G12" s="42">
        <f>INDEX('7oferty p.'!B3:G28,MATCH(9,B4:B29,0),5)</f>
        <v>93</v>
      </c>
      <c r="H12" s="6">
        <f>INDEX('7oferty p.'!B3:G28,MATCH(9,B4:B29,0),6)</f>
        <v>-19</v>
      </c>
    </row>
    <row r="13" spans="2:8" x14ac:dyDescent="0.2">
      <c r="B13" s="6">
        <f>RANK('7oferty p.'!C12,'7oferty p.'!$C$3:'7oferty p.'!$C$28,1)+COUNTIF('7oferty p.'!$C$3:'7oferty p.'!C12,'7oferty p.'!C12)-1</f>
        <v>8</v>
      </c>
      <c r="C13" s="5" t="str">
        <f>INDEX('7oferty p.'!B3:G28,MATCH(10,B4:B29,0),1)</f>
        <v>krośnieński</v>
      </c>
      <c r="D13" s="6">
        <f>INDEX('7oferty p.'!B3:G28,MATCH(10,B4:B29,0),2)</f>
        <v>78</v>
      </c>
      <c r="E13" s="42">
        <f>INDEX('7oferty p.'!B3:G28,MATCH(10,B4:B29,0),3)</f>
        <v>66</v>
      </c>
      <c r="F13" s="6">
        <f>INDEX('7oferty p.'!B3:G28,MATCH(10,B4:B29,0),4)</f>
        <v>12</v>
      </c>
      <c r="G13" s="42">
        <f>INDEX('7oferty p.'!B3:G28,MATCH(10,B4:B29,0),5)</f>
        <v>131</v>
      </c>
      <c r="H13" s="6">
        <f>INDEX('7oferty p.'!B3:G28,MATCH(10,B4:B29,0),6)</f>
        <v>-53</v>
      </c>
    </row>
    <row r="14" spans="2:8" x14ac:dyDescent="0.2">
      <c r="B14" s="6">
        <f>RANK('7oferty p.'!C13,'7oferty p.'!$C$3:'7oferty p.'!$C$28,1)+COUNTIF('7oferty p.'!$C$3:'7oferty p.'!C13,'7oferty p.'!C13)-1</f>
        <v>9</v>
      </c>
      <c r="C14" s="5" t="str">
        <f>INDEX('7oferty p.'!B3:G28,MATCH(11,B4:B29,0),1)</f>
        <v>brzozowski</v>
      </c>
      <c r="D14" s="6">
        <f>INDEX('7oferty p.'!B3:G28,MATCH(11,B4:B29,0),2)</f>
        <v>79</v>
      </c>
      <c r="E14" s="42">
        <f>INDEX('7oferty p.'!B3:G28,MATCH(11,B4:B29,0),3)</f>
        <v>156</v>
      </c>
      <c r="F14" s="6">
        <f>INDEX('7oferty p.'!B3:G28,MATCH(11,B4:B29,0),4)</f>
        <v>-77</v>
      </c>
      <c r="G14" s="42">
        <f>INDEX('7oferty p.'!B3:G28,MATCH(11,B4:B29,0),5)</f>
        <v>96</v>
      </c>
      <c r="H14" s="6">
        <f>INDEX('7oferty p.'!B3:G28,MATCH(11,B4:B29,0),6)</f>
        <v>-17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niżański</v>
      </c>
      <c r="D15" s="6">
        <f>INDEX('7oferty p.'!B3:G28,MATCH(12,B4:B29,0),2)</f>
        <v>84</v>
      </c>
      <c r="E15" s="42">
        <f>INDEX('7oferty p.'!B3:G28,MATCH(12,B4:B29,0),3)</f>
        <v>209</v>
      </c>
      <c r="F15" s="6">
        <f>INDEX('7oferty p.'!B3:G28,MATCH(12,B4:B29,0),4)</f>
        <v>-125</v>
      </c>
      <c r="G15" s="42">
        <f>INDEX('7oferty p.'!B3:G28,MATCH(12,B4:B29,0),5)</f>
        <v>47</v>
      </c>
      <c r="H15" s="6">
        <f>INDEX('7oferty p.'!B3:G28,MATCH(12,B4:B29,0),6)</f>
        <v>37</v>
      </c>
    </row>
    <row r="16" spans="2:8" x14ac:dyDescent="0.2">
      <c r="B16" s="6">
        <f>RANK('7oferty p.'!C15,'7oferty p.'!$C$3:'7oferty p.'!$C$28,1)+COUNTIF('7oferty p.'!$C$3:'7oferty p.'!C15,'7oferty p.'!C15)-1</f>
        <v>12</v>
      </c>
      <c r="C16" s="5" t="str">
        <f>INDEX('7oferty p.'!B3:G28,MATCH(13,B4:B29,0),1)</f>
        <v>Krosno</v>
      </c>
      <c r="D16" s="6">
        <f>INDEX('7oferty p.'!B3:G28,MATCH(13,B4:B29,0),2)</f>
        <v>86</v>
      </c>
      <c r="E16" s="42">
        <f>INDEX('7oferty p.'!B3:G28,MATCH(13,B4:B29,0),3)</f>
        <v>87</v>
      </c>
      <c r="F16" s="6">
        <f>INDEX('7oferty p.'!B3:G28,MATCH(13,B4:B29,0),4)</f>
        <v>-1</v>
      </c>
      <c r="G16" s="42">
        <f>INDEX('7oferty p.'!B3:G28,MATCH(13,B4:B29,0),5)</f>
        <v>141</v>
      </c>
      <c r="H16" s="6">
        <f>INDEX('7oferty p.'!B3:G28,MATCH(13,B4:B29,0),6)</f>
        <v>-55</v>
      </c>
    </row>
    <row r="17" spans="2:8" x14ac:dyDescent="0.2">
      <c r="B17" s="6">
        <f>RANK('7oferty p.'!C16,'7oferty p.'!$C$3:'7oferty p.'!$C$28,1)+COUNTIF('7oferty p.'!$C$3:'7oferty p.'!C16,'7oferty p.'!C16)-1</f>
        <v>3</v>
      </c>
      <c r="C17" s="5" t="str">
        <f>INDEX('7oferty p.'!B3:G28,MATCH(14,B4:B29,0),1)</f>
        <v>stalowowolski</v>
      </c>
      <c r="D17" s="6">
        <f>INDEX('7oferty p.'!B3:G28,MATCH(14,B4:B29,0),2)</f>
        <v>96</v>
      </c>
      <c r="E17" s="42">
        <f>INDEX('7oferty p.'!B3:G28,MATCH(14,B4:B29,0),3)</f>
        <v>138</v>
      </c>
      <c r="F17" s="6">
        <f>INDEX('7oferty p.'!B3:G28,MATCH(14,B4:B29,0),4)</f>
        <v>-42</v>
      </c>
      <c r="G17" s="42">
        <f>INDEX('7oferty p.'!B3:G28,MATCH(14,B4:B29,0),5)</f>
        <v>130</v>
      </c>
      <c r="H17" s="6">
        <f>INDEX('7oferty p.'!B3:G28,MATCH(14,B4:B29,0),6)</f>
        <v>-34</v>
      </c>
    </row>
    <row r="18" spans="2:8" x14ac:dyDescent="0.2">
      <c r="B18" s="6">
        <f>RANK('7oferty p.'!C17,'7oferty p.'!$C$3:'7oferty p.'!$C$28,1)+COUNTIF('7oferty p.'!$C$3:'7oferty p.'!C17,'7oferty p.'!C17)-1</f>
        <v>22</v>
      </c>
      <c r="C18" s="5" t="str">
        <f>INDEX('7oferty p.'!B3:G28,MATCH(15,B4:B29,0),1)</f>
        <v>ropczycko-sędziszowski</v>
      </c>
      <c r="D18" s="6">
        <f>INDEX('7oferty p.'!B3:G28,MATCH(15,B4:B29,0),2)</f>
        <v>98</v>
      </c>
      <c r="E18" s="42">
        <f>INDEX('7oferty p.'!B3:G28,MATCH(15,B4:B29,0),3)</f>
        <v>107</v>
      </c>
      <c r="F18" s="6">
        <f>INDEX('7oferty p.'!B3:G28,MATCH(15,B4:B29,0),4)</f>
        <v>-9</v>
      </c>
      <c r="G18" s="42">
        <f>INDEX('7oferty p.'!B3:G28,MATCH(15,B4:B29,0),5)</f>
        <v>94</v>
      </c>
      <c r="H18" s="6">
        <f>INDEX('7oferty p.'!B3:G28,MATCH(15,B4:B29,0),6)</f>
        <v>4</v>
      </c>
    </row>
    <row r="19" spans="2:8" x14ac:dyDescent="0.2">
      <c r="B19" s="6">
        <f>RANK('7oferty p.'!C18,'7oferty p.'!$C$3:'7oferty p.'!$C$28,1)+COUNTIF('7oferty p.'!$C$3:'7oferty p.'!C18,'7oferty p.'!C18)-1</f>
        <v>15</v>
      </c>
      <c r="C19" s="5" t="str">
        <f>INDEX('7oferty p.'!B3:G28,MATCH(16,B4:B29,0),1)</f>
        <v>sanocki</v>
      </c>
      <c r="D19" s="6">
        <f>INDEX('7oferty p.'!B3:G28,MATCH(16,B4:B29,0),2)</f>
        <v>98</v>
      </c>
      <c r="E19" s="42">
        <f>INDEX('7oferty p.'!B3:G28,MATCH(16,B4:B29,0),3)</f>
        <v>79</v>
      </c>
      <c r="F19" s="6">
        <f>INDEX('7oferty p.'!B3:G28,MATCH(16,B4:B29,0),4)</f>
        <v>19</v>
      </c>
      <c r="G19" s="42">
        <f>INDEX('7oferty p.'!B3:G28,MATCH(16,B4:B29,0),5)</f>
        <v>78</v>
      </c>
      <c r="H19" s="6">
        <f>INDEX('7oferty p.'!B3:G28,MATCH(16,B4:B29,0),6)</f>
        <v>20</v>
      </c>
    </row>
    <row r="20" spans="2:8" x14ac:dyDescent="0.2">
      <c r="B20" s="6">
        <f>RANK('7oferty p.'!C19,'7oferty p.'!$C$3:'7oferty p.'!$C$28,1)+COUNTIF('7oferty p.'!$C$3:'7oferty p.'!C19,'7oferty p.'!C19)-1</f>
        <v>18</v>
      </c>
      <c r="C20" s="5" t="str">
        <f>INDEX('7oferty p.'!B3:G28,MATCH(17,B4:B29,0),1)</f>
        <v>jarosławski</v>
      </c>
      <c r="D20" s="6">
        <f>INDEX('7oferty p.'!B3:G28,MATCH(17,B4:B29,0),2)</f>
        <v>134</v>
      </c>
      <c r="E20" s="42">
        <f>INDEX('7oferty p.'!B3:G28,MATCH(17,B4:B29,0),3)</f>
        <v>212</v>
      </c>
      <c r="F20" s="6">
        <f>INDEX('7oferty p.'!B3:G28,MATCH(17,B4:B29,0),4)</f>
        <v>-78</v>
      </c>
      <c r="G20" s="42">
        <f>INDEX('7oferty p.'!B3:G28,MATCH(17,B4:B29,0),5)</f>
        <v>181</v>
      </c>
      <c r="H20" s="6">
        <f>INDEX('7oferty p.'!B3:G28,MATCH(17,B4:B29,0),6)</f>
        <v>-47</v>
      </c>
    </row>
    <row r="21" spans="2:8" x14ac:dyDescent="0.2">
      <c r="B21" s="6">
        <f>RANK('7oferty p.'!C20,'7oferty p.'!$C$3:'7oferty p.'!$C$28,1)+COUNTIF('7oferty p.'!$C$3:'7oferty p.'!C20,'7oferty p.'!C20)-1</f>
        <v>16</v>
      </c>
      <c r="C21" s="5" t="str">
        <f>INDEX('7oferty p.'!B3:G28,MATCH(18,B4:B29,0),1)</f>
        <v>rzeszowski</v>
      </c>
      <c r="D21" s="6">
        <f>INDEX('7oferty p.'!B3:G28,MATCH(18,B4:B29,0),2)</f>
        <v>146</v>
      </c>
      <c r="E21" s="42">
        <f>INDEX('7oferty p.'!B3:G28,MATCH(18,B4:B29,0),3)</f>
        <v>128</v>
      </c>
      <c r="F21" s="6">
        <f>INDEX('7oferty p.'!B3:G28,MATCH(18,B4:B29,0),4)</f>
        <v>18</v>
      </c>
      <c r="G21" s="42">
        <f>INDEX('7oferty p.'!B3:G28,MATCH(18,B4:B29,0),5)</f>
        <v>231</v>
      </c>
      <c r="H21" s="6">
        <f>INDEX('7oferty p.'!B3:G28,MATCH(18,B4:B29,0),6)</f>
        <v>-85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leżajski</v>
      </c>
      <c r="D22" s="6">
        <f>INDEX('7oferty p.'!B3:G28,MATCH(19,B4:B29,0),2)</f>
        <v>148</v>
      </c>
      <c r="E22" s="42">
        <f>INDEX('7oferty p.'!B3:G28,MATCH(19,B4:B29,0),3)</f>
        <v>196</v>
      </c>
      <c r="F22" s="6">
        <f>INDEX('7oferty p.'!B3:G28,MATCH(19,B4:B29,0),4)</f>
        <v>-48</v>
      </c>
      <c r="G22" s="42">
        <f>INDEX('7oferty p.'!B3:G28,MATCH(19,B4:B29,0),5)</f>
        <v>165</v>
      </c>
      <c r="H22" s="6">
        <f>INDEX('7oferty p.'!B3:G28,MATCH(19,B4:B29,0),6)</f>
        <v>-17</v>
      </c>
    </row>
    <row r="23" spans="2:8" x14ac:dyDescent="0.2">
      <c r="B23" s="6">
        <f>RANK('7oferty p.'!C22,'7oferty p.'!$C$3:'7oferty p.'!$C$28,1)+COUNTIF('7oferty p.'!$C$3:'7oferty p.'!C22,'7oferty p.'!C22)-1</f>
        <v>20</v>
      </c>
      <c r="C23" s="5" t="str">
        <f>INDEX('7oferty p.'!B3:G28,MATCH(20,B4:B29,0),1)</f>
        <v>strzyżowski</v>
      </c>
      <c r="D23" s="6">
        <f>INDEX('7oferty p.'!B3:G28,MATCH(20,B4:B29,0),2)</f>
        <v>188</v>
      </c>
      <c r="E23" s="42">
        <f>INDEX('7oferty p.'!B3:G28,MATCH(20,B4:B29,0),3)</f>
        <v>158</v>
      </c>
      <c r="F23" s="6">
        <f>INDEX('7oferty p.'!B3:G28,MATCH(20,B4:B29,0),4)</f>
        <v>30</v>
      </c>
      <c r="G23" s="42">
        <f>INDEX('7oferty p.'!B3:G28,MATCH(20,B4:B29,0),5)</f>
        <v>58</v>
      </c>
      <c r="H23" s="6">
        <f>INDEX('7oferty p.'!B3:G28,MATCH(20,B4:B29,0),6)</f>
        <v>130</v>
      </c>
    </row>
    <row r="24" spans="2:8" x14ac:dyDescent="0.2">
      <c r="B24" s="6">
        <f>RANK('7oferty p.'!C23,'7oferty p.'!$C$3:'7oferty p.'!$C$28,1)+COUNTIF('7oferty p.'!$C$3:'7oferty p.'!C23,'7oferty p.'!C23)-1</f>
        <v>7</v>
      </c>
      <c r="C24" s="5" t="str">
        <f>INDEX('7oferty p.'!B3:G28,MATCH(21,B4:B29,0),1)</f>
        <v>dębicki</v>
      </c>
      <c r="D24" s="6">
        <f>INDEX('7oferty p.'!B3:G28,MATCH(21,B4:B29,0),2)</f>
        <v>230</v>
      </c>
      <c r="E24" s="42">
        <f>INDEX('7oferty p.'!B3:G28,MATCH(21,B4:B29,0),3)</f>
        <v>295</v>
      </c>
      <c r="F24" s="6">
        <f>INDEX('7oferty p.'!B3:G28,MATCH(21,B4:B29,0),4)</f>
        <v>-65</v>
      </c>
      <c r="G24" s="42">
        <f>INDEX('7oferty p.'!B3:G28,MATCH(21,B4:B29,0),5)</f>
        <v>339</v>
      </c>
      <c r="H24" s="6">
        <f>INDEX('7oferty p.'!B3:G28,MATCH(21,B4:B29,0),6)</f>
        <v>-109</v>
      </c>
    </row>
    <row r="25" spans="2:8" x14ac:dyDescent="0.2">
      <c r="B25" s="6">
        <f>RANK('7oferty p.'!C24,'7oferty p.'!$C$3:'7oferty p.'!$C$28,1)+COUNTIF('7oferty p.'!$C$3:'7oferty p.'!C24,'7oferty p.'!C24)-1</f>
        <v>13</v>
      </c>
      <c r="C25" s="5" t="str">
        <f>INDEX('7oferty p.'!B3:G28,MATCH(22,B4:B29,0),1)</f>
        <v>przeworski</v>
      </c>
      <c r="D25" s="6">
        <f>INDEX('7oferty p.'!B3:G28,MATCH(22,B4:B29,0),2)</f>
        <v>245</v>
      </c>
      <c r="E25" s="42">
        <f>INDEX('7oferty p.'!B3:G28,MATCH(22,B4:B29,0),3)</f>
        <v>222</v>
      </c>
      <c r="F25" s="6">
        <f>INDEX('7oferty p.'!B3:G28,MATCH(22,B4:B29,0),4)</f>
        <v>23</v>
      </c>
      <c r="G25" s="42">
        <f>INDEX('7oferty p.'!B3:G28,MATCH(22,B4:B29,0),5)</f>
        <v>167</v>
      </c>
      <c r="H25" s="6">
        <f>INDEX('7oferty p.'!B3:G28,MATCH(22,B4:B29,0),6)</f>
        <v>78</v>
      </c>
    </row>
    <row r="26" spans="2:8" x14ac:dyDescent="0.2">
      <c r="B26" s="6">
        <f>RANK('7oferty p.'!C25,'7oferty p.'!$C$3:'7oferty p.'!$C$28,1)+COUNTIF('7oferty p.'!$C$3:'7oferty p.'!C25,'7oferty p.'!C25)-1</f>
        <v>4</v>
      </c>
      <c r="C26" s="5" t="str">
        <f>INDEX('7oferty p.'!B3:G28,MATCH(23,B4:B29,0),1)</f>
        <v>mielecki</v>
      </c>
      <c r="D26" s="6">
        <f>INDEX('7oferty p.'!B3:G28,MATCH(23,B4:B29,0),2)</f>
        <v>257</v>
      </c>
      <c r="E26" s="42">
        <f>INDEX('7oferty p.'!B3:G28,MATCH(23,B4:B29,0),3)</f>
        <v>238</v>
      </c>
      <c r="F26" s="6">
        <f>INDEX('7oferty p.'!B3:G28,MATCH(23,B4:B29,0),4)</f>
        <v>19</v>
      </c>
      <c r="G26" s="42">
        <f>INDEX('7oferty p.'!B3:G28,MATCH(23,B4:B29,0),5)</f>
        <v>299</v>
      </c>
      <c r="H26" s="6">
        <f>INDEX('7oferty p.'!B3:G28,MATCH(23,B4:B29,0),6)</f>
        <v>-42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269</v>
      </c>
      <c r="E27" s="42">
        <f>INDEX('7oferty p.'!B3:G28,MATCH(24,B4:B29,0),3)</f>
        <v>260</v>
      </c>
      <c r="F27" s="6">
        <f>INDEX('7oferty p.'!B3:G28,MATCH(24,B4:B29,0),4)</f>
        <v>9</v>
      </c>
      <c r="G27" s="42">
        <f>INDEX('7oferty p.'!B3:G28,MATCH(24,B4:B29,0),5)</f>
        <v>254</v>
      </c>
      <c r="H27" s="6">
        <f>INDEX('7oferty p.'!B3:G28,MATCH(24,B4:B29,0),6)</f>
        <v>15</v>
      </c>
    </row>
    <row r="28" spans="2:8" x14ac:dyDescent="0.2">
      <c r="B28" s="6">
        <f>RANK('7oferty p.'!C27,'7oferty p.'!$C$3:'7oferty p.'!$C$28,1)+COUNTIF('7oferty p.'!$C$3:'7oferty p.'!C27,'7oferty p.'!C27)-1</f>
        <v>5</v>
      </c>
      <c r="C28" s="5" t="str">
        <f>INDEX('7oferty p.'!B3:G28,MATCH(25,B4:B29,0),1)</f>
        <v>Rzeszów</v>
      </c>
      <c r="D28" s="6">
        <f>INDEX('7oferty p.'!B3:G28,MATCH(25,B4:B29,0),2)</f>
        <v>370</v>
      </c>
      <c r="E28" s="42">
        <f>INDEX('7oferty p.'!B3:G28,MATCH(25,B4:B29,0),3)</f>
        <v>454</v>
      </c>
      <c r="F28" s="6">
        <f>INDEX('7oferty p.'!B3:G28,MATCH(25,B4:B29,0),4)</f>
        <v>-84</v>
      </c>
      <c r="G28" s="42">
        <f>INDEX('7oferty p.'!B3:G28,MATCH(25,B4:B29,0),5)</f>
        <v>584</v>
      </c>
      <c r="H28" s="6">
        <f>INDEX('7oferty p.'!B3:G28,MATCH(25,B4:B29,0),6)</f>
        <v>-214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3068</v>
      </c>
      <c r="E29" s="44">
        <f>INDEX('7oferty p.'!B3:G28,MATCH(26,B4:B29,0),3)</f>
        <v>3799</v>
      </c>
      <c r="F29" s="40">
        <f>INDEX('7oferty p.'!B3:G28,MATCH(26,B4:B29,0),4)</f>
        <v>-731</v>
      </c>
      <c r="G29" s="44">
        <f>INDEX('7oferty p.'!B3:G28,MATCH(26,B4:B29,0),5)</f>
        <v>3621</v>
      </c>
      <c r="H29" s="40">
        <f>INDEX('7oferty p.'!B3:G28,MATCH(26,B4:B29,0),6)</f>
        <v>-553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92</v>
      </c>
      <c r="D3" s="38" t="s">
        <v>74</v>
      </c>
      <c r="E3" s="37" t="s">
        <v>28</v>
      </c>
      <c r="F3" s="38" t="s">
        <v>93</v>
      </c>
      <c r="G3" s="37" t="s">
        <v>26</v>
      </c>
    </row>
    <row r="4" spans="2:11" x14ac:dyDescent="0.2">
      <c r="B4" s="5" t="s">
        <v>0</v>
      </c>
      <c r="C4" s="28">
        <v>9</v>
      </c>
      <c r="D4" s="42">
        <v>20</v>
      </c>
      <c r="E4" s="28">
        <f t="shared" ref="E4:E28" si="0">SUM(C4)-D4</f>
        <v>-11</v>
      </c>
      <c r="F4" s="42">
        <v>11</v>
      </c>
      <c r="G4" s="28">
        <f t="shared" ref="G4:G28" si="1">SUM(C4)-F4</f>
        <v>-2</v>
      </c>
      <c r="H4" s="7"/>
    </row>
    <row r="5" spans="2:11" x14ac:dyDescent="0.2">
      <c r="B5" s="5" t="s">
        <v>1</v>
      </c>
      <c r="C5" s="28">
        <v>70</v>
      </c>
      <c r="D5" s="42">
        <v>152</v>
      </c>
      <c r="E5" s="28">
        <f t="shared" si="0"/>
        <v>-82</v>
      </c>
      <c r="F5" s="42">
        <v>89</v>
      </c>
      <c r="G5" s="28">
        <f t="shared" si="1"/>
        <v>-19</v>
      </c>
      <c r="H5" s="7"/>
    </row>
    <row r="6" spans="2:11" x14ac:dyDescent="0.2">
      <c r="B6" s="5" t="s">
        <v>2</v>
      </c>
      <c r="C6" s="28">
        <v>53</v>
      </c>
      <c r="D6" s="42">
        <v>69</v>
      </c>
      <c r="E6" s="28">
        <f t="shared" si="0"/>
        <v>-16</v>
      </c>
      <c r="F6" s="42">
        <v>40</v>
      </c>
      <c r="G6" s="28">
        <f t="shared" si="1"/>
        <v>13</v>
      </c>
      <c r="H6" s="7"/>
    </row>
    <row r="7" spans="2:11" x14ac:dyDescent="0.2">
      <c r="B7" s="5" t="s">
        <v>3</v>
      </c>
      <c r="C7" s="28">
        <v>76</v>
      </c>
      <c r="D7" s="42">
        <v>92</v>
      </c>
      <c r="E7" s="28">
        <f t="shared" si="0"/>
        <v>-16</v>
      </c>
      <c r="F7" s="42">
        <v>98</v>
      </c>
      <c r="G7" s="28">
        <f t="shared" si="1"/>
        <v>-22</v>
      </c>
      <c r="H7" s="7"/>
    </row>
    <row r="8" spans="2:11" x14ac:dyDescent="0.2">
      <c r="B8" s="5" t="s">
        <v>4</v>
      </c>
      <c r="C8" s="28">
        <v>127</v>
      </c>
      <c r="D8" s="42">
        <v>111</v>
      </c>
      <c r="E8" s="28">
        <f t="shared" si="0"/>
        <v>16</v>
      </c>
      <c r="F8" s="42">
        <v>107</v>
      </c>
      <c r="G8" s="28">
        <f t="shared" si="1"/>
        <v>20</v>
      </c>
      <c r="H8" s="7"/>
    </row>
    <row r="9" spans="2:11" x14ac:dyDescent="0.2">
      <c r="B9" s="5" t="s">
        <v>5</v>
      </c>
      <c r="C9" s="28">
        <v>43</v>
      </c>
      <c r="D9" s="42">
        <v>46</v>
      </c>
      <c r="E9" s="28">
        <f t="shared" si="0"/>
        <v>-3</v>
      </c>
      <c r="F9" s="42">
        <v>51</v>
      </c>
      <c r="G9" s="28">
        <f t="shared" si="1"/>
        <v>-8</v>
      </c>
      <c r="H9" s="7"/>
    </row>
    <row r="10" spans="2:11" x14ac:dyDescent="0.2">
      <c r="B10" s="9" t="s">
        <v>6</v>
      </c>
      <c r="C10" s="28">
        <v>30</v>
      </c>
      <c r="D10" s="42">
        <v>47</v>
      </c>
      <c r="E10" s="28">
        <f t="shared" si="0"/>
        <v>-17</v>
      </c>
      <c r="F10" s="42">
        <v>31</v>
      </c>
      <c r="G10" s="28">
        <f t="shared" si="1"/>
        <v>-1</v>
      </c>
      <c r="H10" s="7"/>
    </row>
    <row r="11" spans="2:11" x14ac:dyDescent="0.2">
      <c r="B11" s="5" t="s">
        <v>7</v>
      </c>
      <c r="C11" s="28">
        <v>31</v>
      </c>
      <c r="D11" s="42">
        <v>48</v>
      </c>
      <c r="E11" s="28">
        <f t="shared" si="0"/>
        <v>-17</v>
      </c>
      <c r="F11" s="42">
        <v>30</v>
      </c>
      <c r="G11" s="28">
        <f t="shared" si="1"/>
        <v>1</v>
      </c>
      <c r="H11" s="7"/>
    </row>
    <row r="12" spans="2:11" x14ac:dyDescent="0.2">
      <c r="B12" s="5" t="s">
        <v>8</v>
      </c>
      <c r="C12" s="28">
        <v>136</v>
      </c>
      <c r="D12" s="42">
        <v>166</v>
      </c>
      <c r="E12" s="28">
        <f t="shared" si="0"/>
        <v>-30</v>
      </c>
      <c r="F12" s="42">
        <v>64</v>
      </c>
      <c r="G12" s="28">
        <f t="shared" si="1"/>
        <v>72</v>
      </c>
      <c r="H12" s="7"/>
    </row>
    <row r="13" spans="2:11" x14ac:dyDescent="0.2">
      <c r="B13" s="5" t="s">
        <v>9</v>
      </c>
      <c r="C13" s="28">
        <v>55</v>
      </c>
      <c r="D13" s="42">
        <v>104</v>
      </c>
      <c r="E13" s="28">
        <f t="shared" si="0"/>
        <v>-49</v>
      </c>
      <c r="F13" s="42">
        <v>60</v>
      </c>
      <c r="G13" s="28">
        <f t="shared" si="1"/>
        <v>-5</v>
      </c>
      <c r="H13" s="7"/>
    </row>
    <row r="14" spans="2:11" x14ac:dyDescent="0.2">
      <c r="B14" s="5" t="s">
        <v>10</v>
      </c>
      <c r="C14" s="28">
        <v>29</v>
      </c>
      <c r="D14" s="42">
        <v>98</v>
      </c>
      <c r="E14" s="28">
        <f t="shared" si="0"/>
        <v>-69</v>
      </c>
      <c r="F14" s="42">
        <v>56</v>
      </c>
      <c r="G14" s="28">
        <f t="shared" si="1"/>
        <v>-27</v>
      </c>
      <c r="H14" s="7"/>
    </row>
    <row r="15" spans="2:11" x14ac:dyDescent="0.2">
      <c r="B15" s="5" t="s">
        <v>11</v>
      </c>
      <c r="C15" s="28">
        <v>106</v>
      </c>
      <c r="D15" s="42">
        <v>118</v>
      </c>
      <c r="E15" s="28">
        <f t="shared" si="0"/>
        <v>-12</v>
      </c>
      <c r="F15" s="42">
        <v>74</v>
      </c>
      <c r="G15" s="28">
        <f t="shared" si="1"/>
        <v>32</v>
      </c>
      <c r="H15" s="7"/>
    </row>
    <row r="16" spans="2:11" x14ac:dyDescent="0.2">
      <c r="B16" s="5" t="s">
        <v>12</v>
      </c>
      <c r="C16" s="28">
        <v>64</v>
      </c>
      <c r="D16" s="42">
        <v>187</v>
      </c>
      <c r="E16" s="28">
        <f t="shared" si="0"/>
        <v>-123</v>
      </c>
      <c r="F16" s="42">
        <v>27</v>
      </c>
      <c r="G16" s="28">
        <f t="shared" si="1"/>
        <v>37</v>
      </c>
      <c r="H16" s="7"/>
    </row>
    <row r="17" spans="2:8" x14ac:dyDescent="0.2">
      <c r="B17" s="5" t="s">
        <v>13</v>
      </c>
      <c r="C17" s="28">
        <v>36</v>
      </c>
      <c r="D17" s="42">
        <v>40</v>
      </c>
      <c r="E17" s="28">
        <f t="shared" si="0"/>
        <v>-4</v>
      </c>
      <c r="F17" s="42">
        <v>41</v>
      </c>
      <c r="G17" s="28">
        <f t="shared" si="1"/>
        <v>-5</v>
      </c>
      <c r="H17" s="7"/>
    </row>
    <row r="18" spans="2:8" x14ac:dyDescent="0.2">
      <c r="B18" s="5" t="s">
        <v>14</v>
      </c>
      <c r="C18" s="28">
        <v>115</v>
      </c>
      <c r="D18" s="42">
        <v>83</v>
      </c>
      <c r="E18" s="28">
        <f t="shared" si="0"/>
        <v>32</v>
      </c>
      <c r="F18" s="42">
        <v>59</v>
      </c>
      <c r="G18" s="28">
        <f t="shared" si="1"/>
        <v>56</v>
      </c>
      <c r="H18" s="7"/>
    </row>
    <row r="19" spans="2:8" x14ac:dyDescent="0.2">
      <c r="B19" s="5" t="s">
        <v>15</v>
      </c>
      <c r="C19" s="28">
        <v>66</v>
      </c>
      <c r="D19" s="42">
        <v>55</v>
      </c>
      <c r="E19" s="28">
        <f t="shared" si="0"/>
        <v>11</v>
      </c>
      <c r="F19" s="42">
        <v>47</v>
      </c>
      <c r="G19" s="28">
        <f t="shared" si="1"/>
        <v>19</v>
      </c>
      <c r="H19" s="7"/>
    </row>
    <row r="20" spans="2:8" x14ac:dyDescent="0.2">
      <c r="B20" s="5" t="s">
        <v>16</v>
      </c>
      <c r="C20" s="28">
        <v>57</v>
      </c>
      <c r="D20" s="42">
        <v>64</v>
      </c>
      <c r="E20" s="28">
        <f t="shared" si="0"/>
        <v>-7</v>
      </c>
      <c r="F20" s="42">
        <v>101</v>
      </c>
      <c r="G20" s="28">
        <f t="shared" si="1"/>
        <v>-44</v>
      </c>
      <c r="H20" s="7"/>
    </row>
    <row r="21" spans="2:8" x14ac:dyDescent="0.2">
      <c r="B21" s="5" t="s">
        <v>17</v>
      </c>
      <c r="C21" s="28">
        <v>57</v>
      </c>
      <c r="D21" s="42">
        <v>49</v>
      </c>
      <c r="E21" s="28">
        <f t="shared" si="0"/>
        <v>8</v>
      </c>
      <c r="F21" s="42">
        <v>62</v>
      </c>
      <c r="G21" s="28">
        <f t="shared" si="1"/>
        <v>-5</v>
      </c>
      <c r="H21" s="7"/>
    </row>
    <row r="22" spans="2:8" x14ac:dyDescent="0.2">
      <c r="B22" s="5" t="s">
        <v>18</v>
      </c>
      <c r="C22" s="28">
        <v>58</v>
      </c>
      <c r="D22" s="42">
        <v>82</v>
      </c>
      <c r="E22" s="28">
        <f t="shared" si="0"/>
        <v>-24</v>
      </c>
      <c r="F22" s="42">
        <v>60</v>
      </c>
      <c r="G22" s="28">
        <f t="shared" si="1"/>
        <v>-2</v>
      </c>
      <c r="H22" s="7"/>
    </row>
    <row r="23" spans="2:8" x14ac:dyDescent="0.2">
      <c r="B23" s="5" t="s">
        <v>19</v>
      </c>
      <c r="C23" s="28">
        <v>101</v>
      </c>
      <c r="D23" s="42">
        <v>98</v>
      </c>
      <c r="E23" s="28">
        <f t="shared" si="0"/>
        <v>3</v>
      </c>
      <c r="F23" s="42">
        <v>24</v>
      </c>
      <c r="G23" s="28">
        <f t="shared" si="1"/>
        <v>77</v>
      </c>
      <c r="H23" s="7"/>
    </row>
    <row r="24" spans="2:8" x14ac:dyDescent="0.2">
      <c r="B24" s="5" t="s">
        <v>20</v>
      </c>
      <c r="C24" s="28">
        <v>27</v>
      </c>
      <c r="D24" s="42">
        <v>69</v>
      </c>
      <c r="E24" s="28">
        <f t="shared" si="0"/>
        <v>-42</v>
      </c>
      <c r="F24" s="42">
        <v>30</v>
      </c>
      <c r="G24" s="28">
        <f t="shared" si="1"/>
        <v>-3</v>
      </c>
      <c r="H24" s="7"/>
    </row>
    <row r="25" spans="2:8" x14ac:dyDescent="0.2">
      <c r="B25" s="5" t="s">
        <v>21</v>
      </c>
      <c r="C25" s="28">
        <v>44</v>
      </c>
      <c r="D25" s="42">
        <v>49</v>
      </c>
      <c r="E25" s="28">
        <f t="shared" si="0"/>
        <v>-5</v>
      </c>
      <c r="F25" s="42">
        <v>23</v>
      </c>
      <c r="G25" s="28">
        <f t="shared" si="1"/>
        <v>21</v>
      </c>
      <c r="H25" s="7"/>
    </row>
    <row r="26" spans="2:8" x14ac:dyDescent="0.2">
      <c r="B26" s="5" t="s">
        <v>22</v>
      </c>
      <c r="C26" s="28">
        <v>31</v>
      </c>
      <c r="D26" s="42">
        <v>61</v>
      </c>
      <c r="E26" s="28">
        <f t="shared" si="0"/>
        <v>-30</v>
      </c>
      <c r="F26" s="42">
        <v>34</v>
      </c>
      <c r="G26" s="28">
        <f t="shared" si="1"/>
        <v>-3</v>
      </c>
      <c r="H26" s="7"/>
    </row>
    <row r="27" spans="2:8" x14ac:dyDescent="0.2">
      <c r="B27" s="5" t="s">
        <v>23</v>
      </c>
      <c r="C27" s="28">
        <v>50</v>
      </c>
      <c r="D27" s="42">
        <v>84</v>
      </c>
      <c r="E27" s="28">
        <f t="shared" si="0"/>
        <v>-34</v>
      </c>
      <c r="F27" s="42">
        <v>172</v>
      </c>
      <c r="G27" s="28">
        <f t="shared" si="1"/>
        <v>-122</v>
      </c>
      <c r="H27" s="7"/>
    </row>
    <row r="28" spans="2:8" x14ac:dyDescent="0.2">
      <c r="B28" s="5" t="s">
        <v>24</v>
      </c>
      <c r="C28" s="28">
        <v>36</v>
      </c>
      <c r="D28" s="42">
        <v>57</v>
      </c>
      <c r="E28" s="28">
        <f t="shared" si="0"/>
        <v>-21</v>
      </c>
      <c r="F28" s="42">
        <v>41</v>
      </c>
      <c r="G28" s="28">
        <f t="shared" si="1"/>
        <v>-5</v>
      </c>
      <c r="H28" s="7"/>
    </row>
    <row r="29" spans="2:8" ht="15" x14ac:dyDescent="0.25">
      <c r="B29" s="39" t="s">
        <v>25</v>
      </c>
      <c r="C29" s="48">
        <f>SUM(C4:C28)</f>
        <v>1507</v>
      </c>
      <c r="D29" s="44">
        <f>SUM(D4:D28)</f>
        <v>2049</v>
      </c>
      <c r="E29" s="48">
        <f>SUM(E4:E28)</f>
        <v>-542</v>
      </c>
      <c r="F29" s="44">
        <f>SUM(F4:F28)</f>
        <v>1432</v>
      </c>
      <c r="G29" s="48">
        <f>SUM(G4:G28)</f>
        <v>75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04-'25 r.</v>
      </c>
      <c r="E3" s="36" t="str">
        <f>T('8oferty s.'!D3)</f>
        <v>liczba ofert w 03-'25 r.</v>
      </c>
      <c r="F3" s="36" t="str">
        <f>T('8oferty s.'!E3)</f>
        <v>wzrost/spadek do poprzedniego  miesiąca</v>
      </c>
      <c r="G3" s="36" t="str">
        <f>T('8oferty s.'!F3)</f>
        <v>liczba ofert w 04-'24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</v>
      </c>
      <c r="C4" s="5" t="str">
        <f>INDEX('8oferty s.'!B4:G29,MATCH(1,B4:B29,0),1)</f>
        <v>bieszczadzki</v>
      </c>
      <c r="D4" s="24">
        <f>INDEX('8oferty s.'!B4:G29,MATCH(1,B4:B29,0),2)</f>
        <v>9</v>
      </c>
      <c r="E4" s="42">
        <f>INDEX('8oferty s.'!B4:G29,MATCH(1,B4:B29,0),3)</f>
        <v>20</v>
      </c>
      <c r="F4" s="6">
        <f>INDEX('8oferty s.'!B4:G29,MATCH(1,B4:B29,0),4)</f>
        <v>-11</v>
      </c>
      <c r="G4" s="42">
        <f>INDEX('8oferty s.'!B4:G29,MATCH(1,B4:B29,0),5)</f>
        <v>11</v>
      </c>
      <c r="H4" s="6">
        <f>INDEX('8oferty s.'!B4:G29,MATCH(1,B4:B29,0),6)</f>
        <v>-2</v>
      </c>
    </row>
    <row r="5" spans="2:8" x14ac:dyDescent="0.2">
      <c r="B5" s="6">
        <f>RANK('8oferty s.'!C5,'8oferty s.'!$C$4:'8oferty s.'!$C$29,1)+COUNTIF('8oferty s.'!$C$4:'8oferty s.'!C5,'8oferty s.'!C5)-1</f>
        <v>19</v>
      </c>
      <c r="C5" s="5" t="str">
        <f>INDEX('8oferty s.'!B4:G29,MATCH(2,B4:B29,0),1)</f>
        <v xml:space="preserve">tarnobrzeski </v>
      </c>
      <c r="D5" s="6">
        <f>INDEX('8oferty s.'!B4:G29,MATCH(2,B4:B29,0),2)</f>
        <v>27</v>
      </c>
      <c r="E5" s="42">
        <f>INDEX('8oferty s.'!B4:G29,MATCH(2,B4:B29,0),3)</f>
        <v>69</v>
      </c>
      <c r="F5" s="6">
        <f>INDEX('8oferty s.'!B4:G29,MATCH(2,B4:B29,0),4)</f>
        <v>-42</v>
      </c>
      <c r="G5" s="42">
        <f>INDEX('8oferty s.'!B4:G29,MATCH(2,B4:B29,0),5)</f>
        <v>30</v>
      </c>
      <c r="H5" s="6">
        <f>INDEX('8oferty s.'!B4:G29,MATCH(2,B4:B29,0),6)</f>
        <v>-3</v>
      </c>
    </row>
    <row r="6" spans="2:8" x14ac:dyDescent="0.2">
      <c r="B6" s="6">
        <f>RANK('8oferty s.'!C6,'8oferty s.'!$C$4:'8oferty s.'!$C$29,1)+COUNTIF('8oferty s.'!$C$4:'8oferty s.'!C6,'8oferty s.'!C6)-1</f>
        <v>12</v>
      </c>
      <c r="C6" s="5" t="str">
        <f>INDEX('8oferty s.'!B4:G29,MATCH(3,B4:B29,0),1)</f>
        <v>łańcucki</v>
      </c>
      <c r="D6" s="6">
        <f>INDEX('8oferty s.'!B4:G29,MATCH(3,B4:B29,0),2)</f>
        <v>29</v>
      </c>
      <c r="E6" s="42">
        <f>INDEX('8oferty s.'!B4:G29,MATCH(3,B4:B29,0),3)</f>
        <v>98</v>
      </c>
      <c r="F6" s="6">
        <f>INDEX('8oferty s.'!B4:G29,MATCH(3,B4:B29,0),4)</f>
        <v>-69</v>
      </c>
      <c r="G6" s="42">
        <f>INDEX('8oferty s.'!B4:G29,MATCH(3,B4:B29,0),5)</f>
        <v>56</v>
      </c>
      <c r="H6" s="6">
        <f>INDEX('8oferty s.'!B4:G29,MATCH(3,B4:B29,0),6)</f>
        <v>-27</v>
      </c>
    </row>
    <row r="7" spans="2:8" x14ac:dyDescent="0.2">
      <c r="B7" s="6">
        <f>RANK('8oferty s.'!C7,'8oferty s.'!$C$4:'8oferty s.'!$C$29,1)+COUNTIF('8oferty s.'!$C$4:'8oferty s.'!C7,'8oferty s.'!C7)-1</f>
        <v>20</v>
      </c>
      <c r="C7" s="5" t="str">
        <f>INDEX('8oferty s.'!B4:G29,MATCH(4,B4:B29,0),1)</f>
        <v>krośnieński</v>
      </c>
      <c r="D7" s="6">
        <f>INDEX('8oferty s.'!B4:G29,MATCH(4,B4:B29,0),2)</f>
        <v>30</v>
      </c>
      <c r="E7" s="42">
        <f>INDEX('8oferty s.'!B4:G29,MATCH(4,B4:B29,0),3)</f>
        <v>47</v>
      </c>
      <c r="F7" s="6">
        <f>INDEX('8oferty s.'!B4:G29,MATCH(4,B4:B29,0),4)</f>
        <v>-17</v>
      </c>
      <c r="G7" s="42">
        <f>INDEX('8oferty s.'!B4:G29,MATCH(4,B4:B29,0),5)</f>
        <v>31</v>
      </c>
      <c r="H7" s="6">
        <f>INDEX('8oferty s.'!B4:G29,MATCH(4,B4:B29,0),6)</f>
        <v>-1</v>
      </c>
    </row>
    <row r="8" spans="2:8" x14ac:dyDescent="0.2">
      <c r="B8" s="6">
        <f>RANK('8oferty s.'!C8,'8oferty s.'!$C$4:'8oferty s.'!$C$29,1)+COUNTIF('8oferty s.'!$C$4:'8oferty s.'!C8,'8oferty s.'!C8)-1</f>
        <v>24</v>
      </c>
      <c r="C8" s="5" t="str">
        <f>INDEX('8oferty s.'!B4:G29,MATCH(5,B4:B29,0),1)</f>
        <v>leski</v>
      </c>
      <c r="D8" s="6">
        <f>INDEX('8oferty s.'!B4:G29,MATCH(5,B4:B29,0),2)</f>
        <v>31</v>
      </c>
      <c r="E8" s="42">
        <f>INDEX('8oferty s.'!B4:G29,MATCH(5,B4:B29,0),3)</f>
        <v>48</v>
      </c>
      <c r="F8" s="6">
        <f>INDEX('8oferty s.'!B4:G29,MATCH(5,B4:B29,0),4)</f>
        <v>-17</v>
      </c>
      <c r="G8" s="42">
        <f>INDEX('8oferty s.'!B4:G29,MATCH(5,B4:B29,0),5)</f>
        <v>30</v>
      </c>
      <c r="H8" s="6">
        <f>INDEX('8oferty s.'!B4:G29,MATCH(5,B4:B29,0),6)</f>
        <v>1</v>
      </c>
    </row>
    <row r="9" spans="2:8" x14ac:dyDescent="0.2">
      <c r="B9" s="6">
        <f>RANK('8oferty s.'!C9,'8oferty s.'!$C$4:'8oferty s.'!$C$29,1)+COUNTIF('8oferty s.'!$C$4:'8oferty s.'!C9,'8oferty s.'!C9)-1</f>
        <v>9</v>
      </c>
      <c r="C9" s="5" t="str">
        <f>INDEX('8oferty s.'!B4:G29,MATCH(6,B4:B29,0),1)</f>
        <v>Przemyśl</v>
      </c>
      <c r="D9" s="6">
        <f>INDEX('8oferty s.'!B4:G29,MATCH(6,B4:B29,0),2)</f>
        <v>31</v>
      </c>
      <c r="E9" s="42">
        <f>INDEX('8oferty s.'!B4:G29,MATCH(6,B4:B29,0),3)</f>
        <v>61</v>
      </c>
      <c r="F9" s="6">
        <f>INDEX('8oferty s.'!B4:G29,MATCH(6,B4:B29,0),4)</f>
        <v>-30</v>
      </c>
      <c r="G9" s="42">
        <f>INDEX('8oferty s.'!B4:G29,MATCH(6,B4:B29,0),5)</f>
        <v>34</v>
      </c>
      <c r="H9" s="6">
        <f>INDEX('8oferty s.'!B4:G29,MATCH(6,B4:B29,0),6)</f>
        <v>-3</v>
      </c>
    </row>
    <row r="10" spans="2:8" x14ac:dyDescent="0.2">
      <c r="B10" s="6">
        <f>RANK('8oferty s.'!C10,'8oferty s.'!$C$4:'8oferty s.'!$C$29,1)+COUNTIF('8oferty s.'!$C$4:'8oferty s.'!C10,'8oferty s.'!C10)-1</f>
        <v>4</v>
      </c>
      <c r="C10" s="9" t="str">
        <f>INDEX('8oferty s.'!B4:G29,MATCH(7,B4:B29,0),1)</f>
        <v>przemyski</v>
      </c>
      <c r="D10" s="6">
        <f>INDEX('8oferty s.'!B4:G29,MATCH(7,B4:B29,0),2)</f>
        <v>36</v>
      </c>
      <c r="E10" s="42">
        <f>INDEX('8oferty s.'!B4:G29,MATCH(7,B4:B29,0),3)</f>
        <v>40</v>
      </c>
      <c r="F10" s="6">
        <f>INDEX('8oferty s.'!B4:G29,MATCH(7,B4:B29,0),4)</f>
        <v>-4</v>
      </c>
      <c r="G10" s="42">
        <f>INDEX('8oferty s.'!B4:G29,MATCH(7,B4:B29,0),5)</f>
        <v>41</v>
      </c>
      <c r="H10" s="6">
        <f>INDEX('8oferty s.'!B4:G29,MATCH(7,B4:B29,0),6)</f>
        <v>-5</v>
      </c>
    </row>
    <row r="11" spans="2:8" x14ac:dyDescent="0.2">
      <c r="B11" s="6">
        <f>RANK('8oferty s.'!C11,'8oferty s.'!$C$4:'8oferty s.'!$C$29,1)+COUNTIF('8oferty s.'!$C$4:'8oferty s.'!C11,'8oferty s.'!C11)-1</f>
        <v>5</v>
      </c>
      <c r="C11" s="5" t="str">
        <f>INDEX('8oferty s.'!B4:G29,MATCH(8,B4:B29,0),1)</f>
        <v>Tarnobrzeg</v>
      </c>
      <c r="D11" s="6">
        <f>INDEX('8oferty s.'!B4:G29,MATCH(8,B4:B29,0),2)</f>
        <v>36</v>
      </c>
      <c r="E11" s="42">
        <f>INDEX('8oferty s.'!B4:G29,MATCH(8,B4:B29,0),3)</f>
        <v>57</v>
      </c>
      <c r="F11" s="6">
        <f>INDEX('8oferty s.'!B4:G29,MATCH(8,B4:B29,0),4)</f>
        <v>-21</v>
      </c>
      <c r="G11" s="42">
        <f>INDEX('8oferty s.'!B4:G29,MATCH(8,B4:B29,0),5)</f>
        <v>41</v>
      </c>
      <c r="H11" s="6">
        <f>INDEX('8oferty s.'!B4:G29,MATCH(8,B4:B29,0),6)</f>
        <v>-5</v>
      </c>
    </row>
    <row r="12" spans="2:8" x14ac:dyDescent="0.2">
      <c r="B12" s="6">
        <f>RANK('8oferty s.'!C12,'8oferty s.'!$C$4:'8oferty s.'!$C$29,1)+COUNTIF('8oferty s.'!$C$4:'8oferty s.'!C12,'8oferty s.'!C12)-1</f>
        <v>25</v>
      </c>
      <c r="C12" s="5" t="str">
        <f>INDEX('8oferty s.'!B4:G29,MATCH(9,B4:B29,0),1)</f>
        <v>kolbuszowski</v>
      </c>
      <c r="D12" s="6">
        <f>INDEX('8oferty s.'!B4:G29,MATCH(9,B4:B29,0),2)</f>
        <v>43</v>
      </c>
      <c r="E12" s="42">
        <f>INDEX('8oferty s.'!B4:G29,MATCH(9,B4:B29,0),3)</f>
        <v>46</v>
      </c>
      <c r="F12" s="6">
        <f>INDEX('8oferty s.'!B4:G29,MATCH(9,B4:B29,0),4)</f>
        <v>-3</v>
      </c>
      <c r="G12" s="42">
        <f>INDEX('8oferty s.'!B4:G29,MATCH(9,B4:B29,0),5)</f>
        <v>51</v>
      </c>
      <c r="H12" s="6">
        <f>INDEX('8oferty s.'!B4:G29,MATCH(9,B4:B29,0),6)</f>
        <v>-8</v>
      </c>
    </row>
    <row r="13" spans="2:8" x14ac:dyDescent="0.2">
      <c r="B13" s="6">
        <f>RANK('8oferty s.'!C13,'8oferty s.'!$C$4:'8oferty s.'!$C$29,1)+COUNTIF('8oferty s.'!$C$4:'8oferty s.'!C13,'8oferty s.'!C13)-1</f>
        <v>13</v>
      </c>
      <c r="C13" s="5" t="str">
        <f>INDEX('8oferty s.'!B4:G29,MATCH(10,B4:B29,0),1)</f>
        <v>Krosno</v>
      </c>
      <c r="D13" s="6">
        <f>INDEX('8oferty s.'!B4:G29,MATCH(10,B4:B29,0),2)</f>
        <v>44</v>
      </c>
      <c r="E13" s="42">
        <f>INDEX('8oferty s.'!B4:G29,MATCH(10,B4:B29,0),3)</f>
        <v>49</v>
      </c>
      <c r="F13" s="6">
        <f>INDEX('8oferty s.'!B4:G29,MATCH(10,B4:B29,0),4)</f>
        <v>-5</v>
      </c>
      <c r="G13" s="42">
        <f>INDEX('8oferty s.'!B4:G29,MATCH(10,B4:B29,0),5)</f>
        <v>23</v>
      </c>
      <c r="H13" s="6">
        <f>INDEX('8oferty s.'!B4:G29,MATCH(10,B4:B29,0),6)</f>
        <v>21</v>
      </c>
    </row>
    <row r="14" spans="2:8" x14ac:dyDescent="0.2">
      <c r="B14" s="6">
        <f>RANK('8oferty s.'!C14,'8oferty s.'!$C$4:'8oferty s.'!$C$29,1)+COUNTIF('8oferty s.'!$C$4:'8oferty s.'!C14,'8oferty s.'!C14)-1</f>
        <v>3</v>
      </c>
      <c r="C14" s="5" t="str">
        <f>INDEX('8oferty s.'!B4:G29,MATCH(11,B4:B29,0),1)</f>
        <v>Rzeszów</v>
      </c>
      <c r="D14" s="6">
        <f>INDEX('8oferty s.'!B4:G29,MATCH(11,B4:B29,0),2)</f>
        <v>50</v>
      </c>
      <c r="E14" s="42">
        <f>INDEX('8oferty s.'!B4:G29,MATCH(11,B4:B29,0),3)</f>
        <v>84</v>
      </c>
      <c r="F14" s="6">
        <f>INDEX('8oferty s.'!B4:G29,MATCH(11,B4:B29,0),4)</f>
        <v>-34</v>
      </c>
      <c r="G14" s="42">
        <f>INDEX('8oferty s.'!B4:G29,MATCH(11,B4:B29,0),5)</f>
        <v>172</v>
      </c>
      <c r="H14" s="6">
        <f>INDEX('8oferty s.'!B4:G29,MATCH(11,B4:B29,0),6)</f>
        <v>-122</v>
      </c>
    </row>
    <row r="15" spans="2:8" x14ac:dyDescent="0.2">
      <c r="B15" s="6">
        <f>RANK('8oferty s.'!C15,'8oferty s.'!$C$4:'8oferty s.'!$C$29,1)+COUNTIF('8oferty s.'!$C$4:'8oferty s.'!C15,'8oferty s.'!C15)-1</f>
        <v>22</v>
      </c>
      <c r="C15" s="5" t="str">
        <f>INDEX('8oferty s.'!B4:G29,MATCH(12,B4:B29,0),1)</f>
        <v>dębicki</v>
      </c>
      <c r="D15" s="6">
        <f>INDEX('8oferty s.'!B4:G29,MATCH(12,B4:B29,0),2)</f>
        <v>53</v>
      </c>
      <c r="E15" s="42">
        <f>INDEX('8oferty s.'!B4:G29,MATCH(12,B4:B29,0),3)</f>
        <v>69</v>
      </c>
      <c r="F15" s="6">
        <f>INDEX('8oferty s.'!B4:G29,MATCH(12,B4:B29,0),4)</f>
        <v>-16</v>
      </c>
      <c r="G15" s="42">
        <f>INDEX('8oferty s.'!B4:G29,MATCH(12,B4:B29,0),5)</f>
        <v>40</v>
      </c>
      <c r="H15" s="6">
        <f>INDEX('8oferty s.'!B4:G29,MATCH(12,B4:B29,0),6)</f>
        <v>13</v>
      </c>
    </row>
    <row r="16" spans="2:8" x14ac:dyDescent="0.2">
      <c r="B16" s="6">
        <f>RANK('8oferty s.'!C16,'8oferty s.'!$C$4:'8oferty s.'!$C$29,1)+COUNTIF('8oferty s.'!$C$4:'8oferty s.'!C16,'8oferty s.'!C16)-1</f>
        <v>17</v>
      </c>
      <c r="C16" s="5" t="str">
        <f>INDEX('8oferty s.'!B4:G29,MATCH(13,B4:B29,0),1)</f>
        <v>lubaczowski</v>
      </c>
      <c r="D16" s="6">
        <f>INDEX('8oferty s.'!B4:G29,MATCH(13,B4:B29,0),2)</f>
        <v>55</v>
      </c>
      <c r="E16" s="42">
        <f>INDEX('8oferty s.'!B4:G29,MATCH(13,B4:B29,0),3)</f>
        <v>104</v>
      </c>
      <c r="F16" s="6">
        <f>INDEX('8oferty s.'!B4:G29,MATCH(13,B4:B29,0),4)</f>
        <v>-49</v>
      </c>
      <c r="G16" s="42">
        <f>INDEX('8oferty s.'!B4:G29,MATCH(13,B4:B29,0),5)</f>
        <v>60</v>
      </c>
      <c r="H16" s="6">
        <f>INDEX('8oferty s.'!B4:G29,MATCH(13,B4:B29,0),6)</f>
        <v>-5</v>
      </c>
    </row>
    <row r="17" spans="2:8" x14ac:dyDescent="0.2">
      <c r="B17" s="6">
        <f>RANK('8oferty s.'!C17,'8oferty s.'!$C$4:'8oferty s.'!$C$29,1)+COUNTIF('8oferty s.'!$C$4:'8oferty s.'!C17,'8oferty s.'!C17)-1</f>
        <v>7</v>
      </c>
      <c r="C17" s="5" t="str">
        <f>INDEX('8oferty s.'!B4:G29,MATCH(14,B4:B29,0),1)</f>
        <v>rzeszowski</v>
      </c>
      <c r="D17" s="6">
        <f>INDEX('8oferty s.'!B4:G29,MATCH(14,B4:B29,0),2)</f>
        <v>57</v>
      </c>
      <c r="E17" s="42">
        <f>INDEX('8oferty s.'!B4:G29,MATCH(14,B4:B29,0),3)</f>
        <v>64</v>
      </c>
      <c r="F17" s="6">
        <f>INDEX('8oferty s.'!B4:G29,MATCH(14,B4:B29,0),4)</f>
        <v>-7</v>
      </c>
      <c r="G17" s="42">
        <f>INDEX('8oferty s.'!B4:G29,MATCH(14,B4:B29,0),5)</f>
        <v>101</v>
      </c>
      <c r="H17" s="6">
        <f>INDEX('8oferty s.'!B4:G29,MATCH(14,B4:B29,0),6)</f>
        <v>-44</v>
      </c>
    </row>
    <row r="18" spans="2:8" x14ac:dyDescent="0.2">
      <c r="B18" s="6">
        <f>RANK('8oferty s.'!C18,'8oferty s.'!$C$4:'8oferty s.'!$C$29,1)+COUNTIF('8oferty s.'!$C$4:'8oferty s.'!C18,'8oferty s.'!C18)-1</f>
        <v>23</v>
      </c>
      <c r="C18" s="5" t="str">
        <f>INDEX('8oferty s.'!B4:G29,MATCH(15,B4:B29,0),1)</f>
        <v>sanocki</v>
      </c>
      <c r="D18" s="6">
        <f>INDEX('8oferty s.'!B4:G29,MATCH(15,B4:B29,0),2)</f>
        <v>57</v>
      </c>
      <c r="E18" s="42">
        <f>INDEX('8oferty s.'!B4:G29,MATCH(15,B4:B29,0),3)</f>
        <v>49</v>
      </c>
      <c r="F18" s="6">
        <f>INDEX('8oferty s.'!B4:G29,MATCH(15,B4:B29,0),4)</f>
        <v>8</v>
      </c>
      <c r="G18" s="42">
        <f>INDEX('8oferty s.'!B4:G29,MATCH(15,B4:B29,0),5)</f>
        <v>62</v>
      </c>
      <c r="H18" s="6">
        <f>INDEX('8oferty s.'!B4:G29,MATCH(15,B4:B29,0),6)</f>
        <v>-5</v>
      </c>
    </row>
    <row r="19" spans="2:8" x14ac:dyDescent="0.2">
      <c r="B19" s="6">
        <f>RANK('8oferty s.'!C19,'8oferty s.'!$C$4:'8oferty s.'!$C$29,1)+COUNTIF('8oferty s.'!$C$4:'8oferty s.'!C19,'8oferty s.'!C19)-1</f>
        <v>18</v>
      </c>
      <c r="C19" s="5" t="str">
        <f>INDEX('8oferty s.'!B4:G29,MATCH(16,B4:B29,0),1)</f>
        <v>stalowowolski</v>
      </c>
      <c r="D19" s="6">
        <f>INDEX('8oferty s.'!B4:G29,MATCH(16,B4:B29,0),2)</f>
        <v>58</v>
      </c>
      <c r="E19" s="42">
        <f>INDEX('8oferty s.'!B4:G29,MATCH(16,B4:B29,0),3)</f>
        <v>82</v>
      </c>
      <c r="F19" s="6">
        <f>INDEX('8oferty s.'!B4:G29,MATCH(16,B4:B29,0),4)</f>
        <v>-24</v>
      </c>
      <c r="G19" s="42">
        <f>INDEX('8oferty s.'!B4:G29,MATCH(16,B4:B29,0),5)</f>
        <v>60</v>
      </c>
      <c r="H19" s="6">
        <f>INDEX('8oferty s.'!B4:G29,MATCH(16,B4:B29,0),6)</f>
        <v>-2</v>
      </c>
    </row>
    <row r="20" spans="2:8" x14ac:dyDescent="0.2">
      <c r="B20" s="6">
        <f>RANK('8oferty s.'!C20,'8oferty s.'!$C$4:'8oferty s.'!$C$29,1)+COUNTIF('8oferty s.'!$C$4:'8oferty s.'!C20,'8oferty s.'!C20)-1</f>
        <v>14</v>
      </c>
      <c r="C20" s="5" t="str">
        <f>INDEX('8oferty s.'!B4:G29,MATCH(17,B4:B29,0),1)</f>
        <v>niżański</v>
      </c>
      <c r="D20" s="6">
        <f>INDEX('8oferty s.'!B4:G29,MATCH(17,B4:B29,0),2)</f>
        <v>64</v>
      </c>
      <c r="E20" s="42">
        <f>INDEX('8oferty s.'!B4:G29,MATCH(17,B4:B29,0),3)</f>
        <v>187</v>
      </c>
      <c r="F20" s="6">
        <f>INDEX('8oferty s.'!B4:G29,MATCH(17,B4:B29,0),4)</f>
        <v>-123</v>
      </c>
      <c r="G20" s="42">
        <f>INDEX('8oferty s.'!B4:G29,MATCH(17,B4:B29,0),5)</f>
        <v>27</v>
      </c>
      <c r="H20" s="6">
        <f>INDEX('8oferty s.'!B4:G29,MATCH(17,B4:B29,0),6)</f>
        <v>37</v>
      </c>
    </row>
    <row r="21" spans="2:8" x14ac:dyDescent="0.2">
      <c r="B21" s="6">
        <f>RANK('8oferty s.'!C21,'8oferty s.'!$C$4:'8oferty s.'!$C$29,1)+COUNTIF('8oferty s.'!$C$4:'8oferty s.'!C21,'8oferty s.'!C21)-1</f>
        <v>15</v>
      </c>
      <c r="C21" s="5" t="str">
        <f>INDEX('8oferty s.'!B4:G29,MATCH(18,B4:B29,0),1)</f>
        <v>ropczycko-sędziszowski</v>
      </c>
      <c r="D21" s="6">
        <f>INDEX('8oferty s.'!B4:G29,MATCH(18,B4:B29,0),2)</f>
        <v>66</v>
      </c>
      <c r="E21" s="42">
        <f>INDEX('8oferty s.'!B4:G29,MATCH(18,B4:B29,0),3)</f>
        <v>55</v>
      </c>
      <c r="F21" s="6">
        <f>INDEX('8oferty s.'!B4:G29,MATCH(18,B4:B29,0),4)</f>
        <v>11</v>
      </c>
      <c r="G21" s="42">
        <f>INDEX('8oferty s.'!B4:G29,MATCH(18,B4:B29,0),5)</f>
        <v>47</v>
      </c>
      <c r="H21" s="6">
        <f>INDEX('8oferty s.'!B4:G29,MATCH(18,B4:B29,0),6)</f>
        <v>19</v>
      </c>
    </row>
    <row r="22" spans="2:8" x14ac:dyDescent="0.2">
      <c r="B22" s="6">
        <f>RANK('8oferty s.'!C22,'8oferty s.'!$C$4:'8oferty s.'!$C$29,1)+COUNTIF('8oferty s.'!$C$4:'8oferty s.'!C22,'8oferty s.'!C22)-1</f>
        <v>16</v>
      </c>
      <c r="C22" s="5" t="str">
        <f>INDEX('8oferty s.'!B4:G29,MATCH(19,B4:B29,0),1)</f>
        <v>brzozowski</v>
      </c>
      <c r="D22" s="6">
        <f>INDEX('8oferty s.'!B4:G29,MATCH(19,B4:B29,0),2)</f>
        <v>70</v>
      </c>
      <c r="E22" s="42">
        <f>INDEX('8oferty s.'!B4:G29,MATCH(19,B4:B29,0),3)</f>
        <v>152</v>
      </c>
      <c r="F22" s="6">
        <f>INDEX('8oferty s.'!B4:G29,MATCH(19,B4:B29,0),4)</f>
        <v>-82</v>
      </c>
      <c r="G22" s="42">
        <f>INDEX('8oferty s.'!B4:G29,MATCH(19,B4:B29,0),5)</f>
        <v>89</v>
      </c>
      <c r="H22" s="6">
        <f>INDEX('8oferty s.'!B4:G29,MATCH(19,B4:B29,0),6)</f>
        <v>-19</v>
      </c>
    </row>
    <row r="23" spans="2:8" x14ac:dyDescent="0.2">
      <c r="B23" s="6">
        <f>RANK('8oferty s.'!C23,'8oferty s.'!$C$4:'8oferty s.'!$C$29,1)+COUNTIF('8oferty s.'!$C$4:'8oferty s.'!C23,'8oferty s.'!C23)-1</f>
        <v>21</v>
      </c>
      <c r="C23" s="5" t="str">
        <f>INDEX('8oferty s.'!B4:G29,MATCH(20,B4:B29,0),1)</f>
        <v>jarosławski</v>
      </c>
      <c r="D23" s="6">
        <f>INDEX('8oferty s.'!B4:G29,MATCH(20,B4:B29,0),2)</f>
        <v>76</v>
      </c>
      <c r="E23" s="42">
        <f>INDEX('8oferty s.'!B4:G29,MATCH(20,B4:B29,0),3)</f>
        <v>92</v>
      </c>
      <c r="F23" s="6">
        <f>INDEX('8oferty s.'!B4:G29,MATCH(20,B4:B29,0),4)</f>
        <v>-16</v>
      </c>
      <c r="G23" s="42">
        <f>INDEX('8oferty s.'!B4:G29,MATCH(20,B4:B29,0),5)</f>
        <v>98</v>
      </c>
      <c r="H23" s="6">
        <f>INDEX('8oferty s.'!B4:G29,MATCH(20,B4:B29,0),6)</f>
        <v>-22</v>
      </c>
    </row>
    <row r="24" spans="2:8" x14ac:dyDescent="0.2">
      <c r="B24" s="6">
        <f>RANK('8oferty s.'!C24,'8oferty s.'!$C$4:'8oferty s.'!$C$29,1)+COUNTIF('8oferty s.'!$C$4:'8oferty s.'!C24,'8oferty s.'!C24)-1</f>
        <v>2</v>
      </c>
      <c r="C24" s="5" t="str">
        <f>INDEX('8oferty s.'!B4:G29,MATCH(21,B4:B29,0),1)</f>
        <v>strzyżowski</v>
      </c>
      <c r="D24" s="6">
        <f>INDEX('8oferty s.'!B4:G29,MATCH(21,B4:B29,0),2)</f>
        <v>101</v>
      </c>
      <c r="E24" s="42">
        <f>INDEX('8oferty s.'!B4:G29,MATCH(21,B4:B29,0),3)</f>
        <v>98</v>
      </c>
      <c r="F24" s="6">
        <f>INDEX('8oferty s.'!B4:G29,MATCH(21,B4:B29,0),4)</f>
        <v>3</v>
      </c>
      <c r="G24" s="42">
        <f>INDEX('8oferty s.'!B4:G29,MATCH(21,B4:B29,0),5)</f>
        <v>24</v>
      </c>
      <c r="H24" s="6">
        <f>INDEX('8oferty s.'!B4:G29,MATCH(21,B4:B29,0),6)</f>
        <v>77</v>
      </c>
    </row>
    <row r="25" spans="2:8" x14ac:dyDescent="0.2">
      <c r="B25" s="6">
        <f>RANK('8oferty s.'!C25,'8oferty s.'!$C$4:'8oferty s.'!$C$29,1)+COUNTIF('8oferty s.'!$C$4:'8oferty s.'!C25,'8oferty s.'!C25)-1</f>
        <v>10</v>
      </c>
      <c r="C25" s="5" t="str">
        <f>INDEX('8oferty s.'!B4:G29,MATCH(22,B4:B29,0),1)</f>
        <v>mielecki</v>
      </c>
      <c r="D25" s="6">
        <f>INDEX('8oferty s.'!B4:G29,MATCH(22,B4:B29,0),2)</f>
        <v>106</v>
      </c>
      <c r="E25" s="42">
        <f>INDEX('8oferty s.'!B4:G29,MATCH(22,B4:B29,0),3)</f>
        <v>118</v>
      </c>
      <c r="F25" s="6">
        <f>INDEX('8oferty s.'!B4:G29,MATCH(22,B4:B29,0),4)</f>
        <v>-12</v>
      </c>
      <c r="G25" s="42">
        <f>INDEX('8oferty s.'!B4:G29,MATCH(22,B4:B29,0),5)</f>
        <v>74</v>
      </c>
      <c r="H25" s="6">
        <f>INDEX('8oferty s.'!B4:G29,MATCH(22,B4:B29,0),6)</f>
        <v>32</v>
      </c>
    </row>
    <row r="26" spans="2:8" x14ac:dyDescent="0.2">
      <c r="B26" s="6">
        <f>RANK('8oferty s.'!C26,'8oferty s.'!$C$4:'8oferty s.'!$C$29,1)+COUNTIF('8oferty s.'!$C$4:'8oferty s.'!C26,'8oferty s.'!C26)-1</f>
        <v>6</v>
      </c>
      <c r="C26" s="5" t="str">
        <f>INDEX('8oferty s.'!B4:G29,MATCH(23,B4:B29,0),1)</f>
        <v>przeworski</v>
      </c>
      <c r="D26" s="6">
        <f>INDEX('8oferty s.'!B4:G29,MATCH(23,B4:B29,0),2)</f>
        <v>115</v>
      </c>
      <c r="E26" s="42">
        <f>INDEX('8oferty s.'!B4:G29,MATCH(23,B4:B29,0),3)</f>
        <v>83</v>
      </c>
      <c r="F26" s="6">
        <f>INDEX('8oferty s.'!B4:G29,MATCH(23,B4:B29,0),4)</f>
        <v>32</v>
      </c>
      <c r="G26" s="42">
        <f>INDEX('8oferty s.'!B4:G29,MATCH(23,B4:B29,0),5)</f>
        <v>59</v>
      </c>
      <c r="H26" s="6">
        <f>INDEX('8oferty s.'!B4:G29,MATCH(23,B4:B29,0),6)</f>
        <v>56</v>
      </c>
    </row>
    <row r="27" spans="2:8" x14ac:dyDescent="0.2">
      <c r="B27" s="6">
        <f>RANK('8oferty s.'!C27,'8oferty s.'!$C$4:'8oferty s.'!$C$29,1)+COUNTIF('8oferty s.'!$C$4:'8oferty s.'!C27,'8oferty s.'!C27)-1</f>
        <v>11</v>
      </c>
      <c r="C27" s="5" t="str">
        <f>INDEX('8oferty s.'!B4:G29,MATCH(24,B4:B29,0),1)</f>
        <v>jasielski</v>
      </c>
      <c r="D27" s="6">
        <f>INDEX('8oferty s.'!B4:G29,MATCH(24,B4:B29,0),2)</f>
        <v>127</v>
      </c>
      <c r="E27" s="42">
        <f>INDEX('8oferty s.'!B4:G29,MATCH(24,B4:B29,0),3)</f>
        <v>111</v>
      </c>
      <c r="F27" s="6">
        <f>INDEX('8oferty s.'!B4:G29,MATCH(24,B4:B29,0),4)</f>
        <v>16</v>
      </c>
      <c r="G27" s="42">
        <f>INDEX('8oferty s.'!B4:G29,MATCH(24,B4:B29,0),5)</f>
        <v>107</v>
      </c>
      <c r="H27" s="6">
        <f>INDEX('8oferty s.'!B4:G29,MATCH(24,B4:B29,0),6)</f>
        <v>20</v>
      </c>
    </row>
    <row r="28" spans="2:8" x14ac:dyDescent="0.2">
      <c r="B28" s="6">
        <f>RANK('8oferty s.'!C28,'8oferty s.'!$C$4:'8oferty s.'!$C$29,1)+COUNTIF('8oferty s.'!$C$4:'8oferty s.'!C28,'8oferty s.'!C28)-1</f>
        <v>8</v>
      </c>
      <c r="C28" s="5" t="str">
        <f>INDEX('8oferty s.'!B4:G29,MATCH(25,B4:B29,0),1)</f>
        <v>leżajski</v>
      </c>
      <c r="D28" s="6">
        <f>INDEX('8oferty s.'!B4:G29,MATCH(25,B4:B29,0),2)</f>
        <v>136</v>
      </c>
      <c r="E28" s="42">
        <f>INDEX('8oferty s.'!B4:G29,MATCH(25,B4:B29,0),3)</f>
        <v>166</v>
      </c>
      <c r="F28" s="6">
        <f>INDEX('8oferty s.'!B4:G29,MATCH(25,B4:B29,0),4)</f>
        <v>-30</v>
      </c>
      <c r="G28" s="42">
        <f>INDEX('8oferty s.'!B4:G29,MATCH(25,B4:B29,0),5)</f>
        <v>64</v>
      </c>
      <c r="H28" s="6">
        <f>INDEX('8oferty s.'!B4:G29,MATCH(25,B4:B29,0),6)</f>
        <v>72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1507</v>
      </c>
      <c r="E29" s="44">
        <f>INDEX('8oferty s.'!B4:G29,MATCH(26,B4:B29,0),3)</f>
        <v>2049</v>
      </c>
      <c r="F29" s="40">
        <f>INDEX('8oferty s.'!B4:G29,MATCH(26,B4:B29,0),4)</f>
        <v>-542</v>
      </c>
      <c r="G29" s="44">
        <f>INDEX('8oferty s.'!B4:G29,MATCH(26,B4:B29,0),5)</f>
        <v>1432</v>
      </c>
      <c r="H29" s="40">
        <f>INDEX('8oferty s.'!B4:G29,MATCH(26,B4:B29,0),6)</f>
        <v>75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61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62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92</v>
      </c>
      <c r="D3" s="38" t="s">
        <v>74</v>
      </c>
      <c r="E3" s="37" t="s">
        <v>28</v>
      </c>
      <c r="F3" s="38" t="s">
        <v>93</v>
      </c>
      <c r="G3" s="37" t="s">
        <v>26</v>
      </c>
    </row>
    <row r="4" spans="2:11" x14ac:dyDescent="0.2">
      <c r="B4" s="5" t="s">
        <v>0</v>
      </c>
      <c r="C4" s="28">
        <v>14</v>
      </c>
      <c r="D4" s="42">
        <v>20</v>
      </c>
      <c r="E4" s="28">
        <f t="shared" ref="E4:E28" si="0">SUM(C4)-D4</f>
        <v>-6</v>
      </c>
      <c r="F4" s="42">
        <v>19</v>
      </c>
      <c r="G4" s="28">
        <f t="shared" ref="G4:G28" si="1">SUM(C4)-F4</f>
        <v>-5</v>
      </c>
      <c r="H4" s="7"/>
    </row>
    <row r="5" spans="2:11" x14ac:dyDescent="0.2">
      <c r="B5" s="5" t="s">
        <v>1</v>
      </c>
      <c r="C5" s="28">
        <v>9</v>
      </c>
      <c r="D5" s="42">
        <v>3</v>
      </c>
      <c r="E5" s="28">
        <f t="shared" si="0"/>
        <v>6</v>
      </c>
      <c r="F5" s="42">
        <v>7</v>
      </c>
      <c r="G5" s="28">
        <f t="shared" si="1"/>
        <v>2</v>
      </c>
      <c r="H5" s="7"/>
    </row>
    <row r="6" spans="2:11" x14ac:dyDescent="0.2">
      <c r="B6" s="5" t="s">
        <v>2</v>
      </c>
      <c r="C6" s="28">
        <v>176</v>
      </c>
      <c r="D6" s="42">
        <v>188</v>
      </c>
      <c r="E6" s="28">
        <f t="shared" si="0"/>
        <v>-12</v>
      </c>
      <c r="F6" s="42">
        <v>91</v>
      </c>
      <c r="G6" s="28">
        <f t="shared" si="1"/>
        <v>85</v>
      </c>
      <c r="H6" s="7"/>
    </row>
    <row r="7" spans="2:11" x14ac:dyDescent="0.2">
      <c r="B7" s="5" t="s">
        <v>3</v>
      </c>
      <c r="C7" s="28">
        <v>62</v>
      </c>
      <c r="D7" s="42">
        <v>62</v>
      </c>
      <c r="E7" s="28">
        <f t="shared" si="0"/>
        <v>0</v>
      </c>
      <c r="F7" s="42">
        <v>103</v>
      </c>
      <c r="G7" s="28">
        <f t="shared" si="1"/>
        <v>-41</v>
      </c>
      <c r="H7" s="7"/>
    </row>
    <row r="8" spans="2:11" x14ac:dyDescent="0.2">
      <c r="B8" s="5" t="s">
        <v>4</v>
      </c>
      <c r="C8" s="28">
        <v>117</v>
      </c>
      <c r="D8" s="42">
        <v>145</v>
      </c>
      <c r="E8" s="28">
        <f t="shared" si="0"/>
        <v>-28</v>
      </c>
      <c r="F8" s="42">
        <v>149</v>
      </c>
      <c r="G8" s="28">
        <f t="shared" si="1"/>
        <v>-32</v>
      </c>
      <c r="H8" s="7"/>
    </row>
    <row r="9" spans="2:11" x14ac:dyDescent="0.2">
      <c r="B9" s="5" t="s">
        <v>5</v>
      </c>
      <c r="C9" s="28">
        <v>38</v>
      </c>
      <c r="D9" s="42">
        <v>73</v>
      </c>
      <c r="E9" s="28">
        <f t="shared" si="0"/>
        <v>-35</v>
      </c>
      <c r="F9" s="42">
        <v>84</v>
      </c>
      <c r="G9" s="28">
        <f t="shared" si="1"/>
        <v>-46</v>
      </c>
      <c r="H9" s="7"/>
    </row>
    <row r="10" spans="2:11" x14ac:dyDescent="0.2">
      <c r="B10" s="9" t="s">
        <v>6</v>
      </c>
      <c r="C10" s="28">
        <v>58</v>
      </c>
      <c r="D10" s="42">
        <v>21</v>
      </c>
      <c r="E10" s="28">
        <f t="shared" si="0"/>
        <v>37</v>
      </c>
      <c r="F10" s="42">
        <v>131</v>
      </c>
      <c r="G10" s="28">
        <f t="shared" si="1"/>
        <v>-73</v>
      </c>
      <c r="H10" s="7"/>
    </row>
    <row r="11" spans="2:11" x14ac:dyDescent="0.2">
      <c r="B11" s="5" t="s">
        <v>7</v>
      </c>
      <c r="C11" s="28">
        <v>35</v>
      </c>
      <c r="D11" s="42">
        <v>45</v>
      </c>
      <c r="E11" s="28">
        <f t="shared" si="0"/>
        <v>-10</v>
      </c>
      <c r="F11" s="42">
        <v>52</v>
      </c>
      <c r="G11" s="28">
        <f t="shared" si="1"/>
        <v>-17</v>
      </c>
      <c r="H11" s="7"/>
    </row>
    <row r="12" spans="2:11" x14ac:dyDescent="0.2">
      <c r="B12" s="5" t="s">
        <v>8</v>
      </c>
      <c r="C12" s="28">
        <v>39</v>
      </c>
      <c r="D12" s="42">
        <v>131</v>
      </c>
      <c r="E12" s="28">
        <f t="shared" si="0"/>
        <v>-92</v>
      </c>
      <c r="F12" s="42">
        <v>116</v>
      </c>
      <c r="G12" s="28">
        <f t="shared" si="1"/>
        <v>-77</v>
      </c>
      <c r="H12" s="7"/>
    </row>
    <row r="13" spans="2:11" x14ac:dyDescent="0.2">
      <c r="B13" s="5" t="s">
        <v>9</v>
      </c>
      <c r="C13" s="28">
        <v>36</v>
      </c>
      <c r="D13" s="42">
        <v>66</v>
      </c>
      <c r="E13" s="28">
        <f t="shared" si="0"/>
        <v>-30</v>
      </c>
      <c r="F13" s="42">
        <v>73</v>
      </c>
      <c r="G13" s="28">
        <f t="shared" si="1"/>
        <v>-37</v>
      </c>
      <c r="H13" s="7"/>
    </row>
    <row r="14" spans="2:11" x14ac:dyDescent="0.2">
      <c r="B14" s="5" t="s">
        <v>10</v>
      </c>
      <c r="C14" s="28">
        <v>41</v>
      </c>
      <c r="D14" s="42">
        <v>40</v>
      </c>
      <c r="E14" s="28">
        <f t="shared" si="0"/>
        <v>1</v>
      </c>
      <c r="F14" s="42">
        <v>44</v>
      </c>
      <c r="G14" s="28">
        <f t="shared" si="1"/>
        <v>-3</v>
      </c>
      <c r="H14" s="7"/>
    </row>
    <row r="15" spans="2:11" x14ac:dyDescent="0.2">
      <c r="B15" s="5" t="s">
        <v>11</v>
      </c>
      <c r="C15" s="28">
        <v>278</v>
      </c>
      <c r="D15" s="42">
        <v>261</v>
      </c>
      <c r="E15" s="28">
        <f t="shared" si="0"/>
        <v>17</v>
      </c>
      <c r="F15" s="42">
        <v>327</v>
      </c>
      <c r="G15" s="28">
        <f t="shared" si="1"/>
        <v>-49</v>
      </c>
      <c r="H15" s="7"/>
    </row>
    <row r="16" spans="2:11" x14ac:dyDescent="0.2">
      <c r="B16" s="5" t="s">
        <v>12</v>
      </c>
      <c r="C16" s="28">
        <v>72</v>
      </c>
      <c r="D16" s="42">
        <v>86</v>
      </c>
      <c r="E16" s="28">
        <f t="shared" si="0"/>
        <v>-14</v>
      </c>
      <c r="F16" s="42">
        <v>69</v>
      </c>
      <c r="G16" s="28">
        <f t="shared" si="1"/>
        <v>3</v>
      </c>
      <c r="H16" s="7"/>
    </row>
    <row r="17" spans="2:8" x14ac:dyDescent="0.2">
      <c r="B17" s="5" t="s">
        <v>13</v>
      </c>
      <c r="C17" s="28">
        <v>11</v>
      </c>
      <c r="D17" s="42">
        <v>12</v>
      </c>
      <c r="E17" s="28">
        <f t="shared" si="0"/>
        <v>-1</v>
      </c>
      <c r="F17" s="42">
        <v>16</v>
      </c>
      <c r="G17" s="28">
        <f t="shared" si="1"/>
        <v>-5</v>
      </c>
      <c r="H17" s="7"/>
    </row>
    <row r="18" spans="2:8" x14ac:dyDescent="0.2">
      <c r="B18" s="5" t="s">
        <v>14</v>
      </c>
      <c r="C18" s="28">
        <v>149</v>
      </c>
      <c r="D18" s="42">
        <v>157</v>
      </c>
      <c r="E18" s="28">
        <f t="shared" si="0"/>
        <v>-8</v>
      </c>
      <c r="F18" s="42">
        <v>124</v>
      </c>
      <c r="G18" s="28">
        <f t="shared" si="1"/>
        <v>25</v>
      </c>
      <c r="H18" s="7"/>
    </row>
    <row r="19" spans="2:8" x14ac:dyDescent="0.2">
      <c r="B19" s="5" t="s">
        <v>15</v>
      </c>
      <c r="C19" s="28">
        <v>48</v>
      </c>
      <c r="D19" s="42">
        <v>37</v>
      </c>
      <c r="E19" s="28">
        <f t="shared" si="0"/>
        <v>11</v>
      </c>
      <c r="F19" s="42">
        <v>53</v>
      </c>
      <c r="G19" s="28">
        <f t="shared" si="1"/>
        <v>-5</v>
      </c>
      <c r="H19" s="7"/>
    </row>
    <row r="20" spans="2:8" x14ac:dyDescent="0.2">
      <c r="B20" s="5" t="s">
        <v>16</v>
      </c>
      <c r="C20" s="28">
        <v>90</v>
      </c>
      <c r="D20" s="42">
        <v>50</v>
      </c>
      <c r="E20" s="28">
        <f t="shared" si="0"/>
        <v>40</v>
      </c>
      <c r="F20" s="42">
        <v>100</v>
      </c>
      <c r="G20" s="28">
        <f t="shared" si="1"/>
        <v>-10</v>
      </c>
      <c r="H20" s="7"/>
    </row>
    <row r="21" spans="2:8" x14ac:dyDescent="0.2">
      <c r="B21" s="5" t="s">
        <v>17</v>
      </c>
      <c r="C21" s="28">
        <v>33</v>
      </c>
      <c r="D21" s="42">
        <v>31</v>
      </c>
      <c r="E21" s="28">
        <f t="shared" si="0"/>
        <v>2</v>
      </c>
      <c r="F21" s="42">
        <v>25</v>
      </c>
      <c r="G21" s="28">
        <f t="shared" si="1"/>
        <v>8</v>
      </c>
      <c r="H21" s="7"/>
    </row>
    <row r="22" spans="2:8" x14ac:dyDescent="0.2">
      <c r="B22" s="5" t="s">
        <v>18</v>
      </c>
      <c r="C22" s="28">
        <v>49</v>
      </c>
      <c r="D22" s="42">
        <v>89</v>
      </c>
      <c r="E22" s="28">
        <f t="shared" si="0"/>
        <v>-40</v>
      </c>
      <c r="F22" s="42">
        <v>93</v>
      </c>
      <c r="G22" s="28">
        <f t="shared" si="1"/>
        <v>-44</v>
      </c>
      <c r="H22" s="7"/>
    </row>
    <row r="23" spans="2:8" x14ac:dyDescent="0.2">
      <c r="B23" s="5" t="s">
        <v>19</v>
      </c>
      <c r="C23" s="28">
        <v>83</v>
      </c>
      <c r="D23" s="42">
        <v>54</v>
      </c>
      <c r="E23" s="28">
        <f t="shared" si="0"/>
        <v>29</v>
      </c>
      <c r="F23" s="42">
        <v>35</v>
      </c>
      <c r="G23" s="28">
        <f t="shared" si="1"/>
        <v>48</v>
      </c>
      <c r="H23" s="7"/>
    </row>
    <row r="24" spans="2:8" x14ac:dyDescent="0.2">
      <c r="B24" s="5" t="s">
        <v>20</v>
      </c>
      <c r="C24" s="28">
        <v>43</v>
      </c>
      <c r="D24" s="42">
        <v>27</v>
      </c>
      <c r="E24" s="28">
        <f t="shared" si="0"/>
        <v>16</v>
      </c>
      <c r="F24" s="42">
        <v>40</v>
      </c>
      <c r="G24" s="28">
        <f t="shared" si="1"/>
        <v>3</v>
      </c>
      <c r="H24" s="7"/>
    </row>
    <row r="25" spans="2:8" x14ac:dyDescent="0.2">
      <c r="B25" s="5" t="s">
        <v>21</v>
      </c>
      <c r="C25" s="28">
        <v>58</v>
      </c>
      <c r="D25" s="42">
        <v>63</v>
      </c>
      <c r="E25" s="28">
        <f t="shared" si="0"/>
        <v>-5</v>
      </c>
      <c r="F25" s="42">
        <v>120</v>
      </c>
      <c r="G25" s="28">
        <f t="shared" si="1"/>
        <v>-62</v>
      </c>
      <c r="H25" s="7"/>
    </row>
    <row r="26" spans="2:8" x14ac:dyDescent="0.2">
      <c r="B26" s="5" t="s">
        <v>22</v>
      </c>
      <c r="C26" s="28">
        <v>21</v>
      </c>
      <c r="D26" s="42">
        <v>34</v>
      </c>
      <c r="E26" s="28">
        <f t="shared" si="0"/>
        <v>-13</v>
      </c>
      <c r="F26" s="42">
        <v>15</v>
      </c>
      <c r="G26" s="28">
        <f t="shared" si="1"/>
        <v>6</v>
      </c>
      <c r="H26" s="7"/>
    </row>
    <row r="27" spans="2:8" x14ac:dyDescent="0.2">
      <c r="B27" s="5" t="s">
        <v>23</v>
      </c>
      <c r="C27" s="28">
        <v>242</v>
      </c>
      <c r="D27" s="42">
        <v>261</v>
      </c>
      <c r="E27" s="28">
        <f t="shared" si="0"/>
        <v>-19</v>
      </c>
      <c r="F27" s="42">
        <v>217</v>
      </c>
      <c r="G27" s="28">
        <f t="shared" si="1"/>
        <v>25</v>
      </c>
      <c r="H27" s="7"/>
    </row>
    <row r="28" spans="2:8" x14ac:dyDescent="0.2">
      <c r="B28" s="5" t="s">
        <v>24</v>
      </c>
      <c r="C28" s="28">
        <v>39</v>
      </c>
      <c r="D28" s="42">
        <v>46</v>
      </c>
      <c r="E28" s="28">
        <f t="shared" si="0"/>
        <v>-7</v>
      </c>
      <c r="F28" s="42">
        <v>38</v>
      </c>
      <c r="G28" s="28">
        <f t="shared" si="1"/>
        <v>1</v>
      </c>
      <c r="H28" s="7"/>
    </row>
    <row r="29" spans="2:8" ht="15" x14ac:dyDescent="0.25">
      <c r="B29" s="39" t="s">
        <v>25</v>
      </c>
      <c r="C29" s="48">
        <f>SUM(C4:C28)</f>
        <v>1841</v>
      </c>
      <c r="D29" s="44">
        <f>SUM(D4:D28)</f>
        <v>2002</v>
      </c>
      <c r="E29" s="48">
        <f>SUM(E4:E28)</f>
        <v>-161</v>
      </c>
      <c r="F29" s="44">
        <f>SUM(F4:F28)</f>
        <v>2141</v>
      </c>
      <c r="G29" s="48">
        <f>SUM(G4:G28)</f>
        <v>-300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60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04-'25 r.</v>
      </c>
      <c r="E3" s="36" t="str">
        <f>T('8oferty s.'!D3)</f>
        <v>liczba ofert w 03-'25 r.</v>
      </c>
      <c r="F3" s="36" t="str">
        <f>T('8oferty s.'!E3)</f>
        <v>wzrost/spadek do poprzedniego  miesiąca</v>
      </c>
      <c r="G3" s="36" t="str">
        <f>T('8oferty s.'!F3)</f>
        <v>liczba ofert w 04-'24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9</v>
      </c>
      <c r="E4" s="42">
        <f>INDEX('9of st. k.'!B4:G29,MATCH(1,B4:B29,0),3)</f>
        <v>3</v>
      </c>
      <c r="F4" s="6">
        <f>INDEX('9of st. k.'!B4:G29,MATCH(1,B4:B29,0),4)</f>
        <v>6</v>
      </c>
      <c r="G4" s="42">
        <f>INDEX('9of st. k.'!B4:G29,MATCH(1,B4:B29,0),5)</f>
        <v>7</v>
      </c>
      <c r="H4" s="6">
        <f>INDEX('9of st. k.'!B4:G29,MATCH(1,B4:B29,0),6)</f>
        <v>2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11</v>
      </c>
      <c r="E5" s="42">
        <f>INDEX('9of st. k.'!B4:G29,MATCH(2,B4:B29,0),3)</f>
        <v>12</v>
      </c>
      <c r="F5" s="6">
        <f>INDEX('9of st. k.'!B4:G29,MATCH(2,B4:B29,0),4)</f>
        <v>-1</v>
      </c>
      <c r="G5" s="42">
        <f>INDEX('9of st. k.'!B4:G29,MATCH(2,B4:B29,0),5)</f>
        <v>16</v>
      </c>
      <c r="H5" s="6">
        <f>INDEX('9of st. k.'!B4:G29,MATCH(2,B4:B29,0),6)</f>
        <v>-5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bieszczadzki</v>
      </c>
      <c r="D6" s="6">
        <f>INDEX('9of st. k.'!B4:G29,MATCH(3,B4:B29,0),2)</f>
        <v>14</v>
      </c>
      <c r="E6" s="42">
        <f>INDEX('9of st. k.'!B4:G29,MATCH(3,B4:B29,0),3)</f>
        <v>20</v>
      </c>
      <c r="F6" s="6">
        <f>INDEX('9of st. k.'!B4:G29,MATCH(3,B4:B29,0),4)</f>
        <v>-6</v>
      </c>
      <c r="G6" s="42">
        <f>INDEX('9of st. k.'!B4:G29,MATCH(3,B4:B29,0),5)</f>
        <v>19</v>
      </c>
      <c r="H6" s="6">
        <f>INDEX('9of st. k.'!B4:G29,MATCH(3,B4:B29,0),6)</f>
        <v>-5</v>
      </c>
    </row>
    <row r="7" spans="2:8" x14ac:dyDescent="0.2">
      <c r="B7" s="6">
        <f>RANK('9of st. k.'!C7,'9of st. k.'!$C$4:'9of st. k.'!$C$29,1)+COUNTIF('9of st. k.'!$C$4:'9of st. k.'!C7,'9of st. k.'!C7)-1</f>
        <v>17</v>
      </c>
      <c r="C7" s="5" t="str">
        <f>INDEX('9of st. k.'!B4:G29,MATCH(4,B4:B29,0),1)</f>
        <v>Przemyśl</v>
      </c>
      <c r="D7" s="6">
        <f>INDEX('9of st. k.'!B4:G29,MATCH(4,B4:B29,0),2)</f>
        <v>21</v>
      </c>
      <c r="E7" s="42">
        <f>INDEX('9of st. k.'!B4:G29,MATCH(4,B4:B29,0),3)</f>
        <v>34</v>
      </c>
      <c r="F7" s="6">
        <f>INDEX('9of st. k.'!B4:G29,MATCH(4,B4:B29,0),4)</f>
        <v>-13</v>
      </c>
      <c r="G7" s="42">
        <f>INDEX('9of st. k.'!B4:G29,MATCH(4,B4:B29,0),5)</f>
        <v>15</v>
      </c>
      <c r="H7" s="6">
        <f>INDEX('9of st. k.'!B4:G29,MATCH(4,B4:B29,0),6)</f>
        <v>6</v>
      </c>
    </row>
    <row r="8" spans="2:8" x14ac:dyDescent="0.2">
      <c r="B8" s="6">
        <f>RANK('9of st. k.'!C8,'9of st. k.'!$C$4:'9of st. k.'!$C$29,1)+COUNTIF('9of st. k.'!$C$4:'9of st. k.'!C8,'9of st. k.'!C8)-1</f>
        <v>21</v>
      </c>
      <c r="C8" s="5" t="str">
        <f>INDEX('9of st. k.'!B4:G29,MATCH(5,B4:B29,0),1)</f>
        <v>sanocki</v>
      </c>
      <c r="D8" s="6">
        <f>INDEX('9of st. k.'!B4:G29,MATCH(5,B4:B29,0),2)</f>
        <v>33</v>
      </c>
      <c r="E8" s="42">
        <f>INDEX('9of st. k.'!B4:G29,MATCH(5,B4:B29,0),3)</f>
        <v>31</v>
      </c>
      <c r="F8" s="6">
        <f>INDEX('9of st. k.'!B4:G29,MATCH(5,B4:B29,0),4)</f>
        <v>2</v>
      </c>
      <c r="G8" s="42">
        <f>INDEX('9of st. k.'!B4:G29,MATCH(5,B4:B29,0),5)</f>
        <v>25</v>
      </c>
      <c r="H8" s="6">
        <f>INDEX('9of st. k.'!B4:G29,MATCH(5,B4:B29,0),6)</f>
        <v>8</v>
      </c>
    </row>
    <row r="9" spans="2:8" x14ac:dyDescent="0.2">
      <c r="B9" s="6">
        <f>RANK('9of st. k.'!C9,'9of st. k.'!$C$4:'9of st. k.'!$C$29,1)+COUNTIF('9of st. k.'!$C$4:'9of st. k.'!C9,'9of st. k.'!C9)-1</f>
        <v>8</v>
      </c>
      <c r="C9" s="5" t="str">
        <f>INDEX('9of st. k.'!B4:G29,MATCH(6,B4:B29,0),1)</f>
        <v>leski</v>
      </c>
      <c r="D9" s="6">
        <f>INDEX('9of st. k.'!B4:G29,MATCH(6,B4:B29,0),2)</f>
        <v>35</v>
      </c>
      <c r="E9" s="42">
        <f>INDEX('9of st. k.'!B4:G29,MATCH(6,B4:B29,0),3)</f>
        <v>45</v>
      </c>
      <c r="F9" s="6">
        <f>INDEX('9of st. k.'!B4:G29,MATCH(6,B4:B29,0),4)</f>
        <v>-10</v>
      </c>
      <c r="G9" s="42">
        <f>INDEX('9of st. k.'!B4:G29,MATCH(6,B4:B29,0),5)</f>
        <v>52</v>
      </c>
      <c r="H9" s="6">
        <f>INDEX('9of st. k.'!B4:G29,MATCH(6,B4:B29,0),6)</f>
        <v>-17</v>
      </c>
    </row>
    <row r="10" spans="2:8" x14ac:dyDescent="0.2">
      <c r="B10" s="6">
        <f>RANK('9of st. k.'!C10,'9of st. k.'!$C$4:'9of st. k.'!$C$29,1)+COUNTIF('9of st. k.'!$C$4:'9of st. k.'!C10,'9of st. k.'!C10)-1</f>
        <v>15</v>
      </c>
      <c r="C10" s="9" t="str">
        <f>INDEX('9of st. k.'!B4:G29,MATCH(7,B4:B29,0),1)</f>
        <v>lubaczowski</v>
      </c>
      <c r="D10" s="6">
        <f>INDEX('9of st. k.'!B4:G29,MATCH(7,B4:B29,0),2)</f>
        <v>36</v>
      </c>
      <c r="E10" s="42">
        <f>INDEX('9of st. k.'!B4:G29,MATCH(7,B4:B29,0),3)</f>
        <v>66</v>
      </c>
      <c r="F10" s="6">
        <f>INDEX('9of st. k.'!B4:G29,MATCH(7,B4:B29,0),4)</f>
        <v>-30</v>
      </c>
      <c r="G10" s="42">
        <f>INDEX('9of st. k.'!B4:G29,MATCH(7,B4:B29,0),5)</f>
        <v>73</v>
      </c>
      <c r="H10" s="6">
        <f>INDEX('9of st. k.'!B4:G29,MATCH(7,B4:B29,0),6)</f>
        <v>-37</v>
      </c>
    </row>
    <row r="11" spans="2:8" x14ac:dyDescent="0.2">
      <c r="B11" s="6">
        <f>RANK('9of st. k.'!C11,'9of st. k.'!$C$4:'9of st. k.'!$C$29,1)+COUNTIF('9of st. k.'!$C$4:'9of st. k.'!C11,'9of st. k.'!C11)-1</f>
        <v>6</v>
      </c>
      <c r="C11" s="5" t="str">
        <f>INDEX('9of st. k.'!B4:G29,MATCH(8,B4:B29,0),1)</f>
        <v>kolbuszowski</v>
      </c>
      <c r="D11" s="6">
        <f>INDEX('9of st. k.'!B4:G29,MATCH(8,B4:B29,0),2)</f>
        <v>38</v>
      </c>
      <c r="E11" s="42">
        <f>INDEX('9of st. k.'!B4:G29,MATCH(8,B4:B29,0),3)</f>
        <v>73</v>
      </c>
      <c r="F11" s="6">
        <f>INDEX('9of st. k.'!B4:G29,MATCH(8,B4:B29,0),4)</f>
        <v>-35</v>
      </c>
      <c r="G11" s="42">
        <f>INDEX('9of st. k.'!B4:G29,MATCH(8,B4:B29,0),5)</f>
        <v>84</v>
      </c>
      <c r="H11" s="6">
        <f>INDEX('9of st. k.'!B4:G29,MATCH(8,B4:B29,0),6)</f>
        <v>-46</v>
      </c>
    </row>
    <row r="12" spans="2:8" x14ac:dyDescent="0.2">
      <c r="B12" s="6">
        <f>RANK('9of st. k.'!C12,'9of st. k.'!$C$4:'9of st. k.'!$C$29,1)+COUNTIF('9of st. k.'!$C$4:'9of st. k.'!C12,'9of st. k.'!C12)-1</f>
        <v>9</v>
      </c>
      <c r="C12" s="5" t="str">
        <f>INDEX('9of st. k.'!B4:G29,MATCH(9,B4:B29,0),1)</f>
        <v>leżajski</v>
      </c>
      <c r="D12" s="6">
        <f>INDEX('9of st. k.'!B4:G29,MATCH(9,B4:B29,0),2)</f>
        <v>39</v>
      </c>
      <c r="E12" s="42">
        <f>INDEX('9of st. k.'!B4:G29,MATCH(9,B4:B29,0),3)</f>
        <v>131</v>
      </c>
      <c r="F12" s="6">
        <f>INDEX('9of st. k.'!B4:G29,MATCH(9,B4:B29,0),4)</f>
        <v>-92</v>
      </c>
      <c r="G12" s="42">
        <f>INDEX('9of st. k.'!B4:G29,MATCH(9,B4:B29,0),5)</f>
        <v>116</v>
      </c>
      <c r="H12" s="6">
        <f>INDEX('9of st. k.'!B4:G29,MATCH(9,B4:B29,0),6)</f>
        <v>-77</v>
      </c>
    </row>
    <row r="13" spans="2:8" x14ac:dyDescent="0.2">
      <c r="B13" s="6">
        <f>RANK('9of st. k.'!C13,'9of st. k.'!$C$4:'9of st. k.'!$C$29,1)+COUNTIF('9of st. k.'!$C$4:'9of st. k.'!C13,'9of st. k.'!C13)-1</f>
        <v>7</v>
      </c>
      <c r="C13" s="5" t="str">
        <f>INDEX('9of st. k.'!B4:G29,MATCH(10,B4:B29,0),1)</f>
        <v>Tarnobrzeg</v>
      </c>
      <c r="D13" s="6">
        <f>INDEX('9of st. k.'!B4:G29,MATCH(10,B4:B29,0),2)</f>
        <v>39</v>
      </c>
      <c r="E13" s="42">
        <f>INDEX('9of st. k.'!B4:G29,MATCH(10,B4:B29,0),3)</f>
        <v>46</v>
      </c>
      <c r="F13" s="6">
        <f>INDEX('9of st. k.'!B4:G29,MATCH(10,B4:B29,0),4)</f>
        <v>-7</v>
      </c>
      <c r="G13" s="42">
        <f>INDEX('9of st. k.'!B4:G29,MATCH(10,B4:B29,0),5)</f>
        <v>38</v>
      </c>
      <c r="H13" s="6">
        <f>INDEX('9of st. k.'!B4:G29,MATCH(10,B4:B29,0),6)</f>
        <v>1</v>
      </c>
    </row>
    <row r="14" spans="2:8" x14ac:dyDescent="0.2">
      <c r="B14" s="6">
        <f>RANK('9of st. k.'!C14,'9of st. k.'!$C$4:'9of st. k.'!$C$29,1)+COUNTIF('9of st. k.'!$C$4:'9of st. k.'!C14,'9of st. k.'!C14)-1</f>
        <v>11</v>
      </c>
      <c r="C14" s="5" t="str">
        <f>INDEX('9of st. k.'!B4:G29,MATCH(11,B4:B29,0),1)</f>
        <v>łańcucki</v>
      </c>
      <c r="D14" s="6">
        <f>INDEX('9of st. k.'!B4:G29,MATCH(11,B4:B29,0),2)</f>
        <v>41</v>
      </c>
      <c r="E14" s="42">
        <f>INDEX('9of st. k.'!B4:G29,MATCH(11,B4:B29,0),3)</f>
        <v>40</v>
      </c>
      <c r="F14" s="6">
        <f>INDEX('9of st. k.'!B4:G29,MATCH(11,B4:B29,0),4)</f>
        <v>1</v>
      </c>
      <c r="G14" s="42">
        <f>INDEX('9of st. k.'!B4:G29,MATCH(11,B4:B29,0),5)</f>
        <v>44</v>
      </c>
      <c r="H14" s="6">
        <f>INDEX('9of st. k.'!B4:G29,MATCH(11,B4:B29,0),6)</f>
        <v>-3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 xml:space="preserve">tarnobrzeski </v>
      </c>
      <c r="D15" s="6">
        <f>INDEX('9of st. k.'!B4:G29,MATCH(12,B4:B29,0),2)</f>
        <v>43</v>
      </c>
      <c r="E15" s="42">
        <f>INDEX('9of st. k.'!B4:G29,MATCH(12,B4:B29,0),3)</f>
        <v>27</v>
      </c>
      <c r="F15" s="6">
        <f>INDEX('9of st. k.'!B4:G29,MATCH(12,B4:B29,0),4)</f>
        <v>16</v>
      </c>
      <c r="G15" s="42">
        <f>INDEX('9of st. k.'!B4:G29,MATCH(12,B4:B29,0),5)</f>
        <v>40</v>
      </c>
      <c r="H15" s="6">
        <f>INDEX('9of st. k.'!B4:G29,MATCH(12,B4:B29,0),6)</f>
        <v>3</v>
      </c>
    </row>
    <row r="16" spans="2:8" x14ac:dyDescent="0.2">
      <c r="B16" s="6">
        <f>RANK('9of st. k.'!C16,'9of st. k.'!$C$4:'9of st. k.'!$C$29,1)+COUNTIF('9of st. k.'!$C$4:'9of st. k.'!C16,'9of st. k.'!C16)-1</f>
        <v>18</v>
      </c>
      <c r="C16" s="5" t="str">
        <f>INDEX('9of st. k.'!B4:G29,MATCH(13,B4:B29,0),1)</f>
        <v>ropczycko-sędziszowski</v>
      </c>
      <c r="D16" s="6">
        <f>INDEX('9of st. k.'!B4:G29,MATCH(13,B4:B29,0),2)</f>
        <v>48</v>
      </c>
      <c r="E16" s="42">
        <f>INDEX('9of st. k.'!B4:G29,MATCH(13,B4:B29,0),3)</f>
        <v>37</v>
      </c>
      <c r="F16" s="6">
        <f>INDEX('9of st. k.'!B4:G29,MATCH(13,B4:B29,0),4)</f>
        <v>11</v>
      </c>
      <c r="G16" s="42">
        <f>INDEX('9of st. k.'!B4:G29,MATCH(13,B4:B29,0),5)</f>
        <v>53</v>
      </c>
      <c r="H16" s="6">
        <f>INDEX('9of st. k.'!B4:G29,MATCH(13,B4:B29,0),6)</f>
        <v>-5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stalowowolski</v>
      </c>
      <c r="D17" s="6">
        <f>INDEX('9of st. k.'!B4:G29,MATCH(14,B4:B29,0),2)</f>
        <v>49</v>
      </c>
      <c r="E17" s="42">
        <f>INDEX('9of st. k.'!B4:G29,MATCH(14,B4:B29,0),3)</f>
        <v>89</v>
      </c>
      <c r="F17" s="6">
        <f>INDEX('9of st. k.'!B4:G29,MATCH(14,B4:B29,0),4)</f>
        <v>-40</v>
      </c>
      <c r="G17" s="42">
        <f>INDEX('9of st. k.'!B4:G29,MATCH(14,B4:B29,0),5)</f>
        <v>93</v>
      </c>
      <c r="H17" s="6">
        <f>INDEX('9of st. k.'!B4:G29,MATCH(14,B4:B29,0),6)</f>
        <v>-44</v>
      </c>
    </row>
    <row r="18" spans="2:8" x14ac:dyDescent="0.2">
      <c r="B18" s="6">
        <f>RANK('9of st. k.'!C18,'9of st. k.'!$C$4:'9of st. k.'!$C$29,1)+COUNTIF('9of st. k.'!$C$4:'9of st. k.'!C18,'9of st. k.'!C18)-1</f>
        <v>22</v>
      </c>
      <c r="C18" s="5" t="str">
        <f>INDEX('9of st. k.'!B4:G29,MATCH(15,B4:B29,0),1)</f>
        <v>krośnieński</v>
      </c>
      <c r="D18" s="6">
        <f>INDEX('9of st. k.'!B4:G29,MATCH(15,B4:B29,0),2)</f>
        <v>58</v>
      </c>
      <c r="E18" s="42">
        <f>INDEX('9of st. k.'!B4:G29,MATCH(15,B4:B29,0),3)</f>
        <v>21</v>
      </c>
      <c r="F18" s="6">
        <f>INDEX('9of st. k.'!B4:G29,MATCH(15,B4:B29,0),4)</f>
        <v>37</v>
      </c>
      <c r="G18" s="42">
        <f>INDEX('9of st. k.'!B4:G29,MATCH(15,B4:B29,0),5)</f>
        <v>131</v>
      </c>
      <c r="H18" s="6">
        <f>INDEX('9of st. k.'!B4:G29,MATCH(15,B4:B29,0),6)</f>
        <v>-73</v>
      </c>
    </row>
    <row r="19" spans="2:8" x14ac:dyDescent="0.2">
      <c r="B19" s="6">
        <f>RANK('9of st. k.'!C19,'9of st. k.'!$C$4:'9of st. k.'!$C$29,1)+COUNTIF('9of st. k.'!$C$4:'9of st. k.'!C19,'9of st. k.'!C19)-1</f>
        <v>13</v>
      </c>
      <c r="C19" s="5" t="str">
        <f>INDEX('9of st. k.'!B4:G29,MATCH(16,B4:B29,0),1)</f>
        <v>Krosno</v>
      </c>
      <c r="D19" s="6">
        <f>INDEX('9of st. k.'!B4:G29,MATCH(16,B4:B29,0),2)</f>
        <v>58</v>
      </c>
      <c r="E19" s="42">
        <f>INDEX('9of st. k.'!B4:G29,MATCH(16,B4:B29,0),3)</f>
        <v>63</v>
      </c>
      <c r="F19" s="6">
        <f>INDEX('9of st. k.'!B4:G29,MATCH(16,B4:B29,0),4)</f>
        <v>-5</v>
      </c>
      <c r="G19" s="42">
        <f>INDEX('9of st. k.'!B4:G29,MATCH(16,B4:B29,0),5)</f>
        <v>120</v>
      </c>
      <c r="H19" s="6">
        <f>INDEX('9of st. k.'!B4:G29,MATCH(16,B4:B29,0),6)</f>
        <v>-62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jarosławski</v>
      </c>
      <c r="D20" s="6">
        <f>INDEX('9of st. k.'!B4:G29,MATCH(17,B4:B29,0),2)</f>
        <v>62</v>
      </c>
      <c r="E20" s="42">
        <f>INDEX('9of st. k.'!B4:G29,MATCH(17,B4:B29,0),3)</f>
        <v>62</v>
      </c>
      <c r="F20" s="6">
        <f>INDEX('9of st. k.'!B4:G29,MATCH(17,B4:B29,0),4)</f>
        <v>0</v>
      </c>
      <c r="G20" s="42">
        <f>INDEX('9of st. k.'!B4:G29,MATCH(17,B4:B29,0),5)</f>
        <v>103</v>
      </c>
      <c r="H20" s="6">
        <f>INDEX('9of st. k.'!B4:G29,MATCH(17,B4:B29,0),6)</f>
        <v>-41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niżański</v>
      </c>
      <c r="D21" s="6">
        <f>INDEX('9of st. k.'!B4:G29,MATCH(18,B4:B29,0),2)</f>
        <v>72</v>
      </c>
      <c r="E21" s="42">
        <f>INDEX('9of st. k.'!B4:G29,MATCH(18,B4:B29,0),3)</f>
        <v>86</v>
      </c>
      <c r="F21" s="6">
        <f>INDEX('9of st. k.'!B4:G29,MATCH(18,B4:B29,0),4)</f>
        <v>-14</v>
      </c>
      <c r="G21" s="42">
        <f>INDEX('9of st. k.'!B4:G29,MATCH(18,B4:B29,0),5)</f>
        <v>69</v>
      </c>
      <c r="H21" s="6">
        <f>INDEX('9of st. k.'!B4:G29,MATCH(18,B4:B29,0),6)</f>
        <v>3</v>
      </c>
    </row>
    <row r="22" spans="2:8" x14ac:dyDescent="0.2">
      <c r="B22" s="6">
        <f>RANK('9of st. k.'!C22,'9of st. k.'!$C$4:'9of st. k.'!$C$29,1)+COUNTIF('9of st. k.'!$C$4:'9of st. k.'!C22,'9of st. k.'!C22)-1</f>
        <v>14</v>
      </c>
      <c r="C22" s="5" t="str">
        <f>INDEX('9of st. k.'!B4:G29,MATCH(19,B4:B29,0),1)</f>
        <v>strzyżowski</v>
      </c>
      <c r="D22" s="6">
        <f>INDEX('9of st. k.'!B4:G29,MATCH(19,B4:B29,0),2)</f>
        <v>83</v>
      </c>
      <c r="E22" s="42">
        <f>INDEX('9of st. k.'!B4:G29,MATCH(19,B4:B29,0),3)</f>
        <v>54</v>
      </c>
      <c r="F22" s="6">
        <f>INDEX('9of st. k.'!B4:G29,MATCH(19,B4:B29,0),4)</f>
        <v>29</v>
      </c>
      <c r="G22" s="42">
        <f>INDEX('9of st. k.'!B4:G29,MATCH(19,B4:B29,0),5)</f>
        <v>35</v>
      </c>
      <c r="H22" s="6">
        <f>INDEX('9of st. k.'!B4:G29,MATCH(19,B4:B29,0),6)</f>
        <v>48</v>
      </c>
    </row>
    <row r="23" spans="2:8" x14ac:dyDescent="0.2">
      <c r="B23" s="6">
        <f>RANK('9of st. k.'!C23,'9of st. k.'!$C$4:'9of st. k.'!$C$29,1)+COUNTIF('9of st. k.'!$C$4:'9of st. k.'!C23,'9of st. k.'!C23)-1</f>
        <v>19</v>
      </c>
      <c r="C23" s="5" t="str">
        <f>INDEX('9of st. k.'!B4:G29,MATCH(20,B4:B29,0),1)</f>
        <v>rzeszowski</v>
      </c>
      <c r="D23" s="6">
        <f>INDEX('9of st. k.'!B4:G29,MATCH(20,B4:B29,0),2)</f>
        <v>90</v>
      </c>
      <c r="E23" s="42">
        <f>INDEX('9of st. k.'!B4:G29,MATCH(20,B4:B29,0),3)</f>
        <v>50</v>
      </c>
      <c r="F23" s="6">
        <f>INDEX('9of st. k.'!B4:G29,MATCH(20,B4:B29,0),4)</f>
        <v>40</v>
      </c>
      <c r="G23" s="42">
        <f>INDEX('9of st. k.'!B4:G29,MATCH(20,B4:B29,0),5)</f>
        <v>100</v>
      </c>
      <c r="H23" s="6">
        <f>INDEX('9of st. k.'!B4:G29,MATCH(20,B4:B29,0),6)</f>
        <v>-10</v>
      </c>
    </row>
    <row r="24" spans="2:8" x14ac:dyDescent="0.2">
      <c r="B24" s="6">
        <f>RANK('9of st. k.'!C24,'9of st. k.'!$C$4:'9of st. k.'!$C$29,1)+COUNTIF('9of st. k.'!$C$4:'9of st. k.'!C24,'9of st. k.'!C24)-1</f>
        <v>12</v>
      </c>
      <c r="C24" s="5" t="str">
        <f>INDEX('9of st. k.'!B4:G29,MATCH(21,B4:B29,0),1)</f>
        <v>jasielski</v>
      </c>
      <c r="D24" s="6">
        <f>INDEX('9of st. k.'!B4:G29,MATCH(21,B4:B29,0),2)</f>
        <v>117</v>
      </c>
      <c r="E24" s="42">
        <f>INDEX('9of st. k.'!B4:G29,MATCH(21,B4:B29,0),3)</f>
        <v>145</v>
      </c>
      <c r="F24" s="6">
        <f>INDEX('9of st. k.'!B4:G29,MATCH(21,B4:B29,0),4)</f>
        <v>-28</v>
      </c>
      <c r="G24" s="42">
        <f>INDEX('9of st. k.'!B4:G29,MATCH(21,B4:B29,0),5)</f>
        <v>149</v>
      </c>
      <c r="H24" s="6">
        <f>INDEX('9of st. k.'!B4:G29,MATCH(21,B4:B29,0),6)</f>
        <v>-32</v>
      </c>
    </row>
    <row r="25" spans="2:8" x14ac:dyDescent="0.2">
      <c r="B25" s="6">
        <f>RANK('9of st. k.'!C25,'9of st. k.'!$C$4:'9of st. k.'!$C$29,1)+COUNTIF('9of st. k.'!$C$4:'9of st. k.'!C25,'9of st. k.'!C25)-1</f>
        <v>16</v>
      </c>
      <c r="C25" s="5" t="str">
        <f>INDEX('9of st. k.'!B4:G29,MATCH(22,B4:B29,0),1)</f>
        <v>przeworski</v>
      </c>
      <c r="D25" s="6">
        <f>INDEX('9of st. k.'!B4:G29,MATCH(22,B4:B29,0),2)</f>
        <v>149</v>
      </c>
      <c r="E25" s="42">
        <f>INDEX('9of st. k.'!B4:G29,MATCH(22,B4:B29,0),3)</f>
        <v>157</v>
      </c>
      <c r="F25" s="6">
        <f>INDEX('9of st. k.'!B4:G29,MATCH(22,B4:B29,0),4)</f>
        <v>-8</v>
      </c>
      <c r="G25" s="42">
        <f>INDEX('9of st. k.'!B4:G29,MATCH(22,B4:B29,0),5)</f>
        <v>124</v>
      </c>
      <c r="H25" s="6">
        <f>INDEX('9of st. k.'!B4:G29,MATCH(22,B4:B29,0),6)</f>
        <v>25</v>
      </c>
    </row>
    <row r="26" spans="2:8" x14ac:dyDescent="0.2">
      <c r="B26" s="6">
        <f>RANK('9of st. k.'!C26,'9of st. k.'!$C$4:'9of st. k.'!$C$29,1)+COUNTIF('9of st. k.'!$C$4:'9of st. k.'!C26,'9of st. k.'!C26)-1</f>
        <v>4</v>
      </c>
      <c r="C26" s="5" t="str">
        <f>INDEX('9of st. k.'!B4:G29,MATCH(23,B4:B29,0),1)</f>
        <v>dębicki</v>
      </c>
      <c r="D26" s="6">
        <f>INDEX('9of st. k.'!B4:G29,MATCH(23,B4:B29,0),2)</f>
        <v>176</v>
      </c>
      <c r="E26" s="42">
        <f>INDEX('9of st. k.'!B4:G29,MATCH(23,B4:B29,0),3)</f>
        <v>188</v>
      </c>
      <c r="F26" s="6">
        <f>INDEX('9of st. k.'!B4:G29,MATCH(23,B4:B29,0),4)</f>
        <v>-12</v>
      </c>
      <c r="G26" s="42">
        <f>INDEX('9of st. k.'!B4:G29,MATCH(23,B4:B29,0),5)</f>
        <v>91</v>
      </c>
      <c r="H26" s="6">
        <f>INDEX('9of st. k.'!B4:G29,MATCH(23,B4:B29,0),6)</f>
        <v>85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242</v>
      </c>
      <c r="E27" s="42">
        <f>INDEX('9of st. k.'!B4:G29,MATCH(24,B4:B29,0),3)</f>
        <v>261</v>
      </c>
      <c r="F27" s="6">
        <f>INDEX('9of st. k.'!B4:G29,MATCH(24,B4:B29,0),4)</f>
        <v>-19</v>
      </c>
      <c r="G27" s="42">
        <f>INDEX('9of st. k.'!B4:G29,MATCH(24,B4:B29,0),5)</f>
        <v>217</v>
      </c>
      <c r="H27" s="6">
        <f>INDEX('9of st. k.'!B4:G29,MATCH(24,B4:B29,0),6)</f>
        <v>25</v>
      </c>
    </row>
    <row r="28" spans="2:8" x14ac:dyDescent="0.2">
      <c r="B28" s="6">
        <f>RANK('9of st. k.'!C28,'9of st. k.'!$C$4:'9of st. k.'!$C$29,1)+COUNTIF('9of st. k.'!$C$4:'9of st. k.'!C28,'9of st. k.'!C28)-1</f>
        <v>10</v>
      </c>
      <c r="C28" s="5" t="str">
        <f>INDEX('9of st. k.'!B4:G29,MATCH(25,B4:B29,0),1)</f>
        <v>mielecki</v>
      </c>
      <c r="D28" s="6">
        <f>INDEX('9of st. k.'!B4:G29,MATCH(25,B4:B29,0),2)</f>
        <v>278</v>
      </c>
      <c r="E28" s="42">
        <f>INDEX('9of st. k.'!B4:G29,MATCH(25,B4:B29,0),3)</f>
        <v>261</v>
      </c>
      <c r="F28" s="6">
        <f>INDEX('9of st. k.'!B4:G29,MATCH(25,B4:B29,0),4)</f>
        <v>17</v>
      </c>
      <c r="G28" s="42">
        <f>INDEX('9of st. k.'!B4:G29,MATCH(25,B4:B29,0),5)</f>
        <v>327</v>
      </c>
      <c r="H28" s="6">
        <f>INDEX('9of st. k.'!B4:G29,MATCH(25,B4:B29,0),6)</f>
        <v>-49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1841</v>
      </c>
      <c r="E29" s="44">
        <f>INDEX('9of st. k.'!B4:G29,MATCH(26,B4:B29,0),3)</f>
        <v>2002</v>
      </c>
      <c r="F29" s="40">
        <f>INDEX('9of st. k.'!B4:G29,MATCH(26,B4:B29,0),4)</f>
        <v>-161</v>
      </c>
      <c r="G29" s="44">
        <f>INDEX('9of st. k.'!B4:G29,MATCH(26,B4:B29,0),5)</f>
        <v>2141</v>
      </c>
      <c r="H29" s="40">
        <f>INDEX('9of st. k.'!B4:G29,MATCH(26,B4:B29,0),6)</f>
        <v>-300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.28515625" style="51" customWidth="1"/>
    <col min="5" max="5" width="7.710937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5.14062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57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7" t="s">
        <v>53</v>
      </c>
      <c r="D2" s="95"/>
      <c r="E2" s="95"/>
      <c r="F2" s="95"/>
      <c r="G2" s="96"/>
      <c r="H2" s="137" t="s">
        <v>54</v>
      </c>
      <c r="I2" s="96"/>
      <c r="J2" s="96"/>
      <c r="K2" s="96"/>
      <c r="L2" s="137" t="s">
        <v>55</v>
      </c>
      <c r="M2" s="96"/>
      <c r="N2" s="96"/>
      <c r="O2" s="96"/>
      <c r="P2" s="50"/>
      <c r="Q2" s="79"/>
      <c r="R2" s="138" t="s">
        <v>64</v>
      </c>
      <c r="S2" s="96"/>
      <c r="T2" s="50"/>
      <c r="U2" s="79"/>
      <c r="V2" s="138" t="s">
        <v>64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7"/>
      <c r="D3" s="95"/>
      <c r="E3" s="95"/>
      <c r="F3" s="95"/>
      <c r="G3" s="96"/>
      <c r="H3" s="137"/>
      <c r="I3" s="96"/>
      <c r="J3" s="96"/>
      <c r="K3" s="96"/>
      <c r="L3" s="137"/>
      <c r="M3" s="96"/>
      <c r="N3" s="96"/>
      <c r="O3" s="96"/>
      <c r="P3" s="50"/>
      <c r="Q3" s="79"/>
      <c r="R3" s="138"/>
      <c r="S3" s="96"/>
      <c r="T3" s="50"/>
      <c r="U3" s="79"/>
      <c r="V3" s="138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7"/>
      <c r="D4" s="95"/>
      <c r="E4" s="95"/>
      <c r="F4" s="95"/>
      <c r="G4" s="96"/>
      <c r="H4" s="137"/>
      <c r="I4" s="96"/>
      <c r="J4" s="96"/>
      <c r="K4" s="96"/>
      <c r="L4" s="137"/>
      <c r="M4" s="96"/>
      <c r="N4" s="96"/>
      <c r="O4" s="96"/>
      <c r="P4" s="50"/>
      <c r="Q4" s="79"/>
      <c r="R4" s="138"/>
      <c r="S4" s="96"/>
      <c r="T4" s="50"/>
      <c r="U4" s="79"/>
      <c r="V4" s="138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94</v>
      </c>
      <c r="E5" s="102" t="s">
        <v>95</v>
      </c>
      <c r="F5" s="120" t="s">
        <v>58</v>
      </c>
      <c r="G5" s="75"/>
      <c r="H5" s="101" t="s">
        <v>96</v>
      </c>
      <c r="I5" s="102" t="s">
        <v>97</v>
      </c>
      <c r="J5" s="120" t="s">
        <v>59</v>
      </c>
      <c r="K5" s="75"/>
      <c r="L5" s="101" t="s">
        <v>98</v>
      </c>
      <c r="M5" s="102" t="s">
        <v>99</v>
      </c>
      <c r="N5" s="120" t="s">
        <v>58</v>
      </c>
      <c r="O5" s="75"/>
      <c r="P5" s="118" t="s">
        <v>56</v>
      </c>
      <c r="Q5" s="77"/>
      <c r="R5" s="126" t="s">
        <v>63</v>
      </c>
      <c r="S5" s="102" t="s">
        <v>100</v>
      </c>
      <c r="T5" s="131" t="s">
        <v>68</v>
      </c>
      <c r="U5" s="53"/>
      <c r="V5" s="126" t="s">
        <v>65</v>
      </c>
      <c r="W5" s="110" t="s">
        <v>101</v>
      </c>
      <c r="X5" s="132" t="s">
        <v>69</v>
      </c>
      <c r="Y5" s="156"/>
      <c r="Z5" s="118" t="s">
        <v>70</v>
      </c>
      <c r="AB5" s="155" t="s">
        <v>66</v>
      </c>
      <c r="AC5" s="133"/>
      <c r="AD5" s="134" t="s">
        <v>71</v>
      </c>
      <c r="AE5" s="115"/>
      <c r="AF5" s="155" t="s">
        <v>67</v>
      </c>
      <c r="AG5" s="133"/>
      <c r="AH5" s="134" t="s">
        <v>72</v>
      </c>
      <c r="AI5" s="77"/>
    </row>
    <row r="6" spans="2:35" x14ac:dyDescent="0.2">
      <c r="B6" s="119">
        <v>1</v>
      </c>
      <c r="C6" s="81" t="s">
        <v>0</v>
      </c>
      <c r="D6" s="145">
        <v>158</v>
      </c>
      <c r="E6" s="146">
        <v>185</v>
      </c>
      <c r="F6" s="103">
        <f t="shared" ref="F6:F31" si="0">D6-E6</f>
        <v>-27</v>
      </c>
      <c r="G6" s="73"/>
      <c r="H6" s="52">
        <v>110</v>
      </c>
      <c r="I6" s="54">
        <v>92</v>
      </c>
      <c r="J6" s="67">
        <f>H6-I6</f>
        <v>18</v>
      </c>
      <c r="K6" s="76"/>
      <c r="L6" s="52">
        <v>87</v>
      </c>
      <c r="M6" s="54">
        <v>69</v>
      </c>
      <c r="N6" s="67">
        <f>L6-M6</f>
        <v>18</v>
      </c>
      <c r="O6" s="76"/>
      <c r="P6" s="61">
        <f>F6+J6+N6</f>
        <v>9</v>
      </c>
      <c r="Q6" s="78"/>
      <c r="R6" s="127">
        <v>1085</v>
      </c>
      <c r="S6" s="54">
        <v>1039</v>
      </c>
      <c r="T6" s="63">
        <f>SUM(S6-R6)</f>
        <v>-46</v>
      </c>
      <c r="U6" s="55"/>
      <c r="V6" s="127">
        <v>1130</v>
      </c>
      <c r="W6" s="108">
        <v>1033</v>
      </c>
      <c r="X6" s="108">
        <f>SUM(W6-V6)</f>
        <v>-97</v>
      </c>
      <c r="Y6" s="78"/>
      <c r="Z6" s="61">
        <f>SUM(T6+X6)</f>
        <v>-143</v>
      </c>
      <c r="AB6" s="61">
        <f>RANK(P6,$P$6:$P$30,1)+COUNTIF($P$6:P6,P6)-1</f>
        <v>13</v>
      </c>
      <c r="AC6" s="161" t="str">
        <f>INDEX(C6:P30,MATCH(25,AB6:AB30,0),1)</f>
        <v>jarosławski</v>
      </c>
      <c r="AD6" s="54">
        <f>INDEX(C6:P30,MATCH(25,AB6:AB30,0),14)</f>
        <v>160</v>
      </c>
      <c r="AE6" s="116"/>
      <c r="AF6" s="61">
        <f>RANK(Z6,$Z$6:$Z$30,1)+COUNTIF($Z$6:Z6,Z6)-1</f>
        <v>9</v>
      </c>
      <c r="AG6" s="64" t="str">
        <f>INDEX(C6:Z30,MATCH(25,AF6:AF30,0),1)</f>
        <v>Rzeszów</v>
      </c>
      <c r="AH6" s="54">
        <f>INDEX(C6:Z30,MATCH(25,AF6:AF30,0),24)</f>
        <v>156</v>
      </c>
      <c r="AI6" s="79"/>
    </row>
    <row r="7" spans="2:35" x14ac:dyDescent="0.2">
      <c r="B7" s="119">
        <v>2</v>
      </c>
      <c r="C7" s="82" t="s">
        <v>1</v>
      </c>
      <c r="D7" s="147">
        <v>675</v>
      </c>
      <c r="E7" s="148">
        <v>661</v>
      </c>
      <c r="F7" s="104">
        <f t="shared" si="0"/>
        <v>14</v>
      </c>
      <c r="G7" s="73"/>
      <c r="H7" s="57">
        <v>193</v>
      </c>
      <c r="I7" s="56">
        <v>208</v>
      </c>
      <c r="J7" s="68">
        <f t="shared" ref="J7:J31" si="1">H7-I7</f>
        <v>-15</v>
      </c>
      <c r="K7" s="76"/>
      <c r="L7" s="57">
        <v>93</v>
      </c>
      <c r="M7" s="56">
        <v>100</v>
      </c>
      <c r="N7" s="68">
        <f t="shared" ref="N7:N31" si="2">L7-M7</f>
        <v>-7</v>
      </c>
      <c r="O7" s="76"/>
      <c r="P7" s="62">
        <f>F7+J7+N7</f>
        <v>-8</v>
      </c>
      <c r="Q7" s="78"/>
      <c r="R7" s="128">
        <v>3848</v>
      </c>
      <c r="S7" s="139">
        <v>3585</v>
      </c>
      <c r="T7" s="72">
        <f t="shared" ref="T7:T30" si="3">SUM(S7-R7)</f>
        <v>-263</v>
      </c>
      <c r="U7" s="55"/>
      <c r="V7" s="128">
        <v>3780</v>
      </c>
      <c r="W7" s="109">
        <v>3619</v>
      </c>
      <c r="X7" s="109">
        <f t="shared" ref="X7:X30" si="4">SUM(W7-V7)</f>
        <v>-161</v>
      </c>
      <c r="Y7" s="78"/>
      <c r="Z7" s="62">
        <f>SUM(T7+X7)</f>
        <v>-424</v>
      </c>
      <c r="AB7" s="62">
        <f>RANK(P7,$P$6:$P$30,1)+COUNTIF($P$6:P7,P7)-1</f>
        <v>10</v>
      </c>
      <c r="AC7" s="65" t="str">
        <f>INDEX(C6:P30,MATCH(24,AB6:AB30,0),1)</f>
        <v>krośnieński</v>
      </c>
      <c r="AD7" s="56">
        <f>INDEX(C6:P30,MATCH(24,AB6:AB30,0),14)</f>
        <v>97</v>
      </c>
      <c r="AE7" s="116"/>
      <c r="AF7" s="62">
        <f>RANK(Z7,$Z$6:$Z$30,1)+COUNTIF($Z$6:Z7,Z7)-1</f>
        <v>1</v>
      </c>
      <c r="AG7" s="160" t="str">
        <f>INDEX(C6:Z30,MATCH(24,AF6:AF30,0),1)</f>
        <v>krośnieński</v>
      </c>
      <c r="AH7" s="56">
        <f>INDEX(C6:Z30,MATCH(24,AF6:AF30,0),24)</f>
        <v>148</v>
      </c>
      <c r="AI7" s="79"/>
    </row>
    <row r="8" spans="2:35" x14ac:dyDescent="0.2">
      <c r="B8" s="119">
        <v>3</v>
      </c>
      <c r="C8" s="82" t="s">
        <v>2</v>
      </c>
      <c r="D8" s="147">
        <v>702</v>
      </c>
      <c r="E8" s="148">
        <v>704</v>
      </c>
      <c r="F8" s="104">
        <f t="shared" si="0"/>
        <v>-2</v>
      </c>
      <c r="G8" s="73"/>
      <c r="H8" s="57">
        <v>114</v>
      </c>
      <c r="I8" s="56">
        <v>117</v>
      </c>
      <c r="J8" s="68">
        <f t="shared" si="1"/>
        <v>-3</v>
      </c>
      <c r="K8" s="76"/>
      <c r="L8" s="57">
        <v>90</v>
      </c>
      <c r="M8" s="56">
        <v>69</v>
      </c>
      <c r="N8" s="68">
        <f t="shared" si="2"/>
        <v>21</v>
      </c>
      <c r="O8" s="76"/>
      <c r="P8" s="62">
        <f>F8+J8+N8</f>
        <v>16</v>
      </c>
      <c r="Q8" s="78"/>
      <c r="R8" s="128">
        <v>2433</v>
      </c>
      <c r="S8" s="139">
        <v>2394</v>
      </c>
      <c r="T8" s="56">
        <f t="shared" si="3"/>
        <v>-39</v>
      </c>
      <c r="U8" s="50"/>
      <c r="V8" s="128">
        <v>2247</v>
      </c>
      <c r="W8" s="109">
        <v>2265</v>
      </c>
      <c r="X8" s="68">
        <f t="shared" si="4"/>
        <v>18</v>
      </c>
      <c r="Y8" s="79"/>
      <c r="Z8" s="62">
        <f t="shared" ref="Z8:Z31" si="5">SUM(T8+X8)</f>
        <v>-21</v>
      </c>
      <c r="AB8" s="62">
        <f>RANK(P8,$P$6:$P$30,1)+COUNTIF($P$6:P8,P8)-1</f>
        <v>17</v>
      </c>
      <c r="AC8" s="65" t="str">
        <f>INDEX(C6:P30,MATCH(23,AB6:AB30,0),1)</f>
        <v>leżajski</v>
      </c>
      <c r="AD8" s="56">
        <f>INDEX(C6:P30,MATCH(23,AB6:AB30,0),14)</f>
        <v>94</v>
      </c>
      <c r="AE8" s="116"/>
      <c r="AF8" s="62">
        <f>RANK(Z8,$Z$6:$Z$30,1)+COUNTIF($Z$6:Z8,Z8)-1</f>
        <v>16</v>
      </c>
      <c r="AG8" s="65" t="str">
        <f>INDEX(C6:Z30,MATCH(23,AF6:AF30,0),1)</f>
        <v>ropczycko-sędziszowski</v>
      </c>
      <c r="AH8" s="56">
        <f>INDEX(C6:Z30,MATCH(23,AF6:AF30,0),24)</f>
        <v>132</v>
      </c>
      <c r="AI8" s="79"/>
    </row>
    <row r="9" spans="2:35" x14ac:dyDescent="0.2">
      <c r="B9" s="119">
        <v>4</v>
      </c>
      <c r="C9" s="82" t="s">
        <v>3</v>
      </c>
      <c r="D9" s="147">
        <v>939</v>
      </c>
      <c r="E9" s="148">
        <v>848</v>
      </c>
      <c r="F9" s="104">
        <f t="shared" si="0"/>
        <v>91</v>
      </c>
      <c r="G9" s="73"/>
      <c r="H9" s="57">
        <v>387</v>
      </c>
      <c r="I9" s="56">
        <v>329</v>
      </c>
      <c r="J9" s="68">
        <f t="shared" si="1"/>
        <v>58</v>
      </c>
      <c r="K9" s="76"/>
      <c r="L9" s="57">
        <v>187</v>
      </c>
      <c r="M9" s="56">
        <v>176</v>
      </c>
      <c r="N9" s="68">
        <f t="shared" si="2"/>
        <v>11</v>
      </c>
      <c r="O9" s="76"/>
      <c r="P9" s="62">
        <f t="shared" ref="P9:P30" si="6">F9+J9+N9</f>
        <v>160</v>
      </c>
      <c r="Q9" s="78"/>
      <c r="R9" s="128">
        <v>4299</v>
      </c>
      <c r="S9" s="139">
        <v>4276</v>
      </c>
      <c r="T9" s="56">
        <f t="shared" si="3"/>
        <v>-23</v>
      </c>
      <c r="U9" s="50"/>
      <c r="V9" s="128">
        <v>4489</v>
      </c>
      <c r="W9" s="109">
        <v>4438</v>
      </c>
      <c r="X9" s="68">
        <f t="shared" si="4"/>
        <v>-51</v>
      </c>
      <c r="Y9" s="79"/>
      <c r="Z9" s="62">
        <f t="shared" si="5"/>
        <v>-74</v>
      </c>
      <c r="AB9" s="62">
        <f>RANK(P9,$P$6:$P$30,1)+COUNTIF($P$6:P9,P9)-1</f>
        <v>25</v>
      </c>
      <c r="AC9" s="65" t="str">
        <f>INDEX(C6:P30,MATCH(22,AB6:AB30,0),1)</f>
        <v>ropczycko-sędziszowski</v>
      </c>
      <c r="AD9" s="56">
        <f>INDEX(C6:P30,MATCH(22,AB6:AB30,0),14)</f>
        <v>77</v>
      </c>
      <c r="AE9" s="116"/>
      <c r="AF9" s="62">
        <f>RANK(Z9,$Z$6:$Z$30,1)+COUNTIF($Z$6:Z9,Z9)-1</f>
        <v>13</v>
      </c>
      <c r="AG9" s="65" t="str">
        <f>INDEX(C6:Z30,MATCH(22,AF6:AF30,0),1)</f>
        <v>stalowowolski</v>
      </c>
      <c r="AH9" s="56">
        <f>INDEX(C6:Z30,MATCH(22,AF6:AF30,0),24)</f>
        <v>124</v>
      </c>
      <c r="AI9" s="79"/>
    </row>
    <row r="10" spans="2:35" x14ac:dyDescent="0.2">
      <c r="B10" s="119">
        <v>5</v>
      </c>
      <c r="C10" s="82" t="s">
        <v>4</v>
      </c>
      <c r="D10" s="147">
        <v>762</v>
      </c>
      <c r="E10" s="148">
        <v>875</v>
      </c>
      <c r="F10" s="104">
        <f t="shared" si="0"/>
        <v>-113</v>
      </c>
      <c r="G10" s="73"/>
      <c r="H10" s="57">
        <v>251</v>
      </c>
      <c r="I10" s="56">
        <v>221</v>
      </c>
      <c r="J10" s="68">
        <f t="shared" si="1"/>
        <v>30</v>
      </c>
      <c r="K10" s="76"/>
      <c r="L10" s="57">
        <v>134</v>
      </c>
      <c r="M10" s="56">
        <v>157</v>
      </c>
      <c r="N10" s="68">
        <f t="shared" si="2"/>
        <v>-23</v>
      </c>
      <c r="O10" s="76"/>
      <c r="P10" s="62">
        <f t="shared" si="6"/>
        <v>-106</v>
      </c>
      <c r="Q10" s="78"/>
      <c r="R10" s="128">
        <v>5107</v>
      </c>
      <c r="S10" s="139">
        <v>4902</v>
      </c>
      <c r="T10" s="56">
        <f t="shared" si="3"/>
        <v>-205</v>
      </c>
      <c r="U10" s="50"/>
      <c r="V10" s="128">
        <v>4919</v>
      </c>
      <c r="W10" s="109">
        <v>4833</v>
      </c>
      <c r="X10" s="68">
        <f t="shared" si="4"/>
        <v>-86</v>
      </c>
      <c r="Y10" s="79"/>
      <c r="Z10" s="62">
        <f t="shared" si="5"/>
        <v>-291</v>
      </c>
      <c r="AB10" s="62">
        <f>RANK(P10,$P$6:$P$30,1)+COUNTIF($P$6:P10,P10)-1</f>
        <v>2</v>
      </c>
      <c r="AC10" s="65" t="str">
        <f>INDEX(C6:P30,MATCH(21,AB6:AB30,0),1)</f>
        <v>niżański</v>
      </c>
      <c r="AD10" s="56">
        <f>INDEX(C6:P30,MATCH(21,AB6:AB30,0),14)</f>
        <v>56</v>
      </c>
      <c r="AE10" s="116"/>
      <c r="AF10" s="62">
        <f>RANK(Z10,$Z$6:$Z$30,1)+COUNTIF($Z$6:Z10,Z10)-1</f>
        <v>3</v>
      </c>
      <c r="AG10" s="65" t="str">
        <f>INDEX(C6:Z30,MATCH(21,AF6:AF30,0),1)</f>
        <v>Krosno</v>
      </c>
      <c r="AH10" s="56">
        <f>INDEX(C6:Z30,MATCH(21,AF6:AF30,0),24)</f>
        <v>122</v>
      </c>
      <c r="AI10" s="79"/>
    </row>
    <row r="11" spans="2:35" x14ac:dyDescent="0.2">
      <c r="B11" s="119">
        <v>6</v>
      </c>
      <c r="C11" s="82" t="s">
        <v>5</v>
      </c>
      <c r="D11" s="147">
        <v>398</v>
      </c>
      <c r="E11" s="148">
        <v>375</v>
      </c>
      <c r="F11" s="104">
        <f t="shared" si="0"/>
        <v>23</v>
      </c>
      <c r="G11" s="73"/>
      <c r="H11" s="57">
        <v>79</v>
      </c>
      <c r="I11" s="56">
        <v>60</v>
      </c>
      <c r="J11" s="68">
        <f t="shared" si="1"/>
        <v>19</v>
      </c>
      <c r="K11" s="76"/>
      <c r="L11" s="57">
        <v>65</v>
      </c>
      <c r="M11" s="56">
        <v>52</v>
      </c>
      <c r="N11" s="68">
        <f t="shared" si="2"/>
        <v>13</v>
      </c>
      <c r="O11" s="76"/>
      <c r="P11" s="62">
        <f>F11+J11+N11</f>
        <v>55</v>
      </c>
      <c r="Q11" s="78"/>
      <c r="R11" s="128">
        <v>1494</v>
      </c>
      <c r="S11" s="139">
        <v>1525</v>
      </c>
      <c r="T11" s="139">
        <f>SUM(S11-R11)</f>
        <v>31</v>
      </c>
      <c r="U11" s="50"/>
      <c r="V11" s="128">
        <v>1536</v>
      </c>
      <c r="W11" s="109">
        <v>1536</v>
      </c>
      <c r="X11" s="109">
        <f>SUM(W11-V11)</f>
        <v>0</v>
      </c>
      <c r="Y11" s="78"/>
      <c r="Z11" s="62">
        <f t="shared" si="5"/>
        <v>31</v>
      </c>
      <c r="AB11" s="62">
        <f>RANK(P11,$P$6:$P$30,1)+COUNTIF($P$6:P11,P11)-1</f>
        <v>20</v>
      </c>
      <c r="AC11" s="65" t="str">
        <f>INDEX(C6:P30,MATCH(20,AB6:AB30,0),1)</f>
        <v>kolbuszowski</v>
      </c>
      <c r="AD11" s="56">
        <f>INDEX(C6:P30,MATCH(20,AB6:AB30,0),14)</f>
        <v>55</v>
      </c>
      <c r="AE11" s="116"/>
      <c r="AF11" s="62">
        <f>RANK(Z11,$Z$6:$Z$30,1)+COUNTIF($Z$6:Z11,Z11)-1</f>
        <v>18</v>
      </c>
      <c r="AG11" s="65" t="str">
        <f>INDEX(C6:Z30,MATCH(20,AF6:AF30,0),1)</f>
        <v>sanocki</v>
      </c>
      <c r="AH11" s="56">
        <f>INDEX(C6:Z30,MATCH(20,AF6:AF30,0),24)</f>
        <v>97</v>
      </c>
      <c r="AI11" s="79"/>
    </row>
    <row r="12" spans="2:35" x14ac:dyDescent="0.2">
      <c r="B12" s="119">
        <v>7</v>
      </c>
      <c r="C12" s="82" t="s">
        <v>6</v>
      </c>
      <c r="D12" s="147">
        <v>650</v>
      </c>
      <c r="E12" s="148">
        <v>570</v>
      </c>
      <c r="F12" s="104">
        <f t="shared" si="0"/>
        <v>80</v>
      </c>
      <c r="G12" s="73"/>
      <c r="H12" s="57">
        <v>98</v>
      </c>
      <c r="I12" s="56">
        <v>96</v>
      </c>
      <c r="J12" s="68">
        <f t="shared" si="1"/>
        <v>2</v>
      </c>
      <c r="K12" s="76"/>
      <c r="L12" s="57">
        <v>73</v>
      </c>
      <c r="M12" s="56">
        <v>58</v>
      </c>
      <c r="N12" s="68">
        <f t="shared" si="2"/>
        <v>15</v>
      </c>
      <c r="O12" s="76"/>
      <c r="P12" s="62">
        <f>F12+J12+N12</f>
        <v>97</v>
      </c>
      <c r="Q12" s="78"/>
      <c r="R12" s="128">
        <v>2221</v>
      </c>
      <c r="S12" s="139">
        <v>2316</v>
      </c>
      <c r="T12" s="72">
        <f t="shared" si="3"/>
        <v>95</v>
      </c>
      <c r="U12" s="50"/>
      <c r="V12" s="128">
        <v>2356</v>
      </c>
      <c r="W12" s="109">
        <v>2409</v>
      </c>
      <c r="X12" s="68">
        <f t="shared" si="4"/>
        <v>53</v>
      </c>
      <c r="Y12" s="79"/>
      <c r="Z12" s="62">
        <f>SUM(T12+X12)</f>
        <v>148</v>
      </c>
      <c r="AB12" s="62">
        <f>RANK(P12,$P$6:$P$30,1)+COUNTIF($P$6:P12,P12)-1</f>
        <v>24</v>
      </c>
      <c r="AC12" s="65" t="str">
        <f>INDEX(C6:P30,MATCH(19,AB6:AB30,0),1)</f>
        <v>leski</v>
      </c>
      <c r="AD12" s="56">
        <f>INDEX(C6:P30,MATCH(19,AB6:AB30,0),14)</f>
        <v>53</v>
      </c>
      <c r="AE12" s="116"/>
      <c r="AF12" s="62">
        <f>RANK(Z12,$Z$6:$Z$30,1)+COUNTIF($Z$6:Z12,Z12)-1</f>
        <v>24</v>
      </c>
      <c r="AG12" s="65" t="str">
        <f>INDEX(C6:Z30,MATCH(19,AF6:AF30,0),1)</f>
        <v>Tarnobrzeg</v>
      </c>
      <c r="AH12" s="56">
        <f>INDEX(C6:Z30,MATCH(19,AF6:AF30,0),24)</f>
        <v>35</v>
      </c>
      <c r="AI12" s="79"/>
    </row>
    <row r="13" spans="2:35" x14ac:dyDescent="0.2">
      <c r="B13" s="119">
        <v>8</v>
      </c>
      <c r="C13" s="82" t="s">
        <v>7</v>
      </c>
      <c r="D13" s="147">
        <v>328</v>
      </c>
      <c r="E13" s="148">
        <v>314</v>
      </c>
      <c r="F13" s="104">
        <f t="shared" si="0"/>
        <v>14</v>
      </c>
      <c r="G13" s="73"/>
      <c r="H13" s="57">
        <v>96</v>
      </c>
      <c r="I13" s="56">
        <v>65</v>
      </c>
      <c r="J13" s="68">
        <f t="shared" si="1"/>
        <v>31</v>
      </c>
      <c r="K13" s="76"/>
      <c r="L13" s="57">
        <v>42</v>
      </c>
      <c r="M13" s="56">
        <v>34</v>
      </c>
      <c r="N13" s="68">
        <f t="shared" si="2"/>
        <v>8</v>
      </c>
      <c r="O13" s="76"/>
      <c r="P13" s="62">
        <f t="shared" si="6"/>
        <v>53</v>
      </c>
      <c r="Q13" s="78"/>
      <c r="R13" s="128">
        <v>1716</v>
      </c>
      <c r="S13" s="139">
        <v>1676</v>
      </c>
      <c r="T13" s="56">
        <f t="shared" si="3"/>
        <v>-40</v>
      </c>
      <c r="U13" s="50"/>
      <c r="V13" s="128">
        <v>1726</v>
      </c>
      <c r="W13" s="109">
        <v>1635</v>
      </c>
      <c r="X13" s="68">
        <f t="shared" si="4"/>
        <v>-91</v>
      </c>
      <c r="Y13" s="79"/>
      <c r="Z13" s="62">
        <f t="shared" si="5"/>
        <v>-131</v>
      </c>
      <c r="AB13" s="62">
        <f>RANK(P13,$P$6:$P$30,1)+COUNTIF($P$6:P13,P13)-1</f>
        <v>19</v>
      </c>
      <c r="AC13" s="65" t="str">
        <f>INDEX(C6:P30,MATCH(18,AB6:AB30,0),1)</f>
        <v>sanocki</v>
      </c>
      <c r="AD13" s="56">
        <f>INDEX(C6:P30,MATCH(18,AB6:AB30,0),14)</f>
        <v>49</v>
      </c>
      <c r="AE13" s="116"/>
      <c r="AF13" s="62">
        <f>RANK(Z13,$Z$6:$Z$30,1)+COUNTIF($Z$6:Z13,Z13)-1</f>
        <v>11</v>
      </c>
      <c r="AG13" s="65" t="str">
        <f>INDEX(C6:Z30,MATCH(18,AF6:AF30,0),1)</f>
        <v>kolbuszowski</v>
      </c>
      <c r="AH13" s="56">
        <f>INDEX(C6:Z30,MATCH(18,AF6:AF30,0),24)</f>
        <v>31</v>
      </c>
      <c r="AI13" s="79"/>
    </row>
    <row r="14" spans="2:35" x14ac:dyDescent="0.2">
      <c r="B14" s="119">
        <v>9</v>
      </c>
      <c r="C14" s="82" t="s">
        <v>8</v>
      </c>
      <c r="D14" s="147">
        <v>509</v>
      </c>
      <c r="E14" s="148">
        <v>451</v>
      </c>
      <c r="F14" s="104">
        <f t="shared" si="0"/>
        <v>58</v>
      </c>
      <c r="G14" s="73"/>
      <c r="H14" s="57">
        <v>160</v>
      </c>
      <c r="I14" s="56">
        <v>175</v>
      </c>
      <c r="J14" s="68">
        <f t="shared" si="1"/>
        <v>-15</v>
      </c>
      <c r="K14" s="76"/>
      <c r="L14" s="57">
        <v>291</v>
      </c>
      <c r="M14" s="56">
        <v>240</v>
      </c>
      <c r="N14" s="68">
        <f t="shared" si="2"/>
        <v>51</v>
      </c>
      <c r="O14" s="76"/>
      <c r="P14" s="62">
        <f t="shared" si="6"/>
        <v>94</v>
      </c>
      <c r="Q14" s="78"/>
      <c r="R14" s="128">
        <v>3105</v>
      </c>
      <c r="S14" s="139">
        <v>3042</v>
      </c>
      <c r="T14" s="56">
        <f t="shared" si="3"/>
        <v>-63</v>
      </c>
      <c r="U14" s="50"/>
      <c r="V14" s="128">
        <v>2975</v>
      </c>
      <c r="W14" s="109">
        <v>2865</v>
      </c>
      <c r="X14" s="68">
        <f t="shared" si="4"/>
        <v>-110</v>
      </c>
      <c r="Y14" s="79"/>
      <c r="Z14" s="62">
        <f t="shared" si="5"/>
        <v>-173</v>
      </c>
      <c r="AB14" s="62">
        <f>RANK(P14,$P$6:$P$30,1)+COUNTIF($P$6:P14,P14)-1</f>
        <v>23</v>
      </c>
      <c r="AC14" s="65" t="str">
        <f>INDEX(C6:P30,MATCH(17,AB6:AB30,0),1)</f>
        <v>dębicki</v>
      </c>
      <c r="AD14" s="56">
        <f>INDEX(C6:P30,MATCH(17,AB6:AB30,0),14)</f>
        <v>16</v>
      </c>
      <c r="AE14" s="116"/>
      <c r="AF14" s="157">
        <f>RANK(Z14,$Z$6:$Z$30,1)+COUNTIF($Z$6:Z14,Z14)-1</f>
        <v>7</v>
      </c>
      <c r="AG14" s="65" t="str">
        <f>INDEX(C6:Z30,MATCH(17,AF6:AF30,0),1)</f>
        <v>rzeszowski</v>
      </c>
      <c r="AH14" s="56">
        <f>INDEX(C6:Z30,MATCH(17,AF6:AF30,0),24)</f>
        <v>-6</v>
      </c>
      <c r="AI14" s="79"/>
    </row>
    <row r="15" spans="2:35" x14ac:dyDescent="0.2">
      <c r="B15" s="119">
        <v>10</v>
      </c>
      <c r="C15" s="82" t="s">
        <v>9</v>
      </c>
      <c r="D15" s="147">
        <v>397</v>
      </c>
      <c r="E15" s="148">
        <v>448</v>
      </c>
      <c r="F15" s="104">
        <f t="shared" si="0"/>
        <v>-51</v>
      </c>
      <c r="G15" s="73"/>
      <c r="H15" s="57">
        <v>137</v>
      </c>
      <c r="I15" s="56">
        <v>97</v>
      </c>
      <c r="J15" s="68">
        <f t="shared" si="1"/>
        <v>40</v>
      </c>
      <c r="K15" s="76"/>
      <c r="L15" s="57">
        <v>98</v>
      </c>
      <c r="M15" s="56">
        <v>104</v>
      </c>
      <c r="N15" s="68">
        <f t="shared" si="2"/>
        <v>-6</v>
      </c>
      <c r="O15" s="76"/>
      <c r="P15" s="62">
        <f t="shared" si="6"/>
        <v>-17</v>
      </c>
      <c r="Q15" s="78"/>
      <c r="R15" s="128">
        <v>1867</v>
      </c>
      <c r="S15" s="139">
        <v>1656</v>
      </c>
      <c r="T15" s="56">
        <f t="shared" si="3"/>
        <v>-211</v>
      </c>
      <c r="U15" s="50"/>
      <c r="V15" s="128">
        <v>1704</v>
      </c>
      <c r="W15" s="109">
        <v>1603</v>
      </c>
      <c r="X15" s="68">
        <f t="shared" si="4"/>
        <v>-101</v>
      </c>
      <c r="Y15" s="79"/>
      <c r="Z15" s="62">
        <f t="shared" si="5"/>
        <v>-312</v>
      </c>
      <c r="AB15" s="62">
        <f>RANK(P15,$P$6:$P$30,1)+COUNTIF($P$6:P15,P15)-1</f>
        <v>8</v>
      </c>
      <c r="AC15" s="65" t="str">
        <f>INDEX(C6:P30,MATCH(16,AB6:AB30,0),1)</f>
        <v>tarnobrzeski</v>
      </c>
      <c r="AD15" s="56">
        <f>INDEX(C6:P30,MATCH(16,AB6:AB30,0),14)</f>
        <v>12</v>
      </c>
      <c r="AE15" s="116"/>
      <c r="AF15" s="62">
        <f>RANK(Z15,$Z$6:$Z$30,1)+COUNTIF($Z$6:Z15,Z15)-1</f>
        <v>2</v>
      </c>
      <c r="AG15" s="65" t="str">
        <f>INDEX(C6:Z30,MATCH(16,AF6:AF30,0),1)</f>
        <v>dębicki</v>
      </c>
      <c r="AH15" s="56">
        <f>INDEX(C6:Z30,MATCH(16,AF6:AF30,0),24)</f>
        <v>-21</v>
      </c>
      <c r="AI15" s="79"/>
    </row>
    <row r="16" spans="2:35" x14ac:dyDescent="0.2">
      <c r="B16" s="119">
        <v>11</v>
      </c>
      <c r="C16" s="82" t="s">
        <v>10</v>
      </c>
      <c r="D16" s="147">
        <v>671</v>
      </c>
      <c r="E16" s="148">
        <v>619</v>
      </c>
      <c r="F16" s="104">
        <f t="shared" si="0"/>
        <v>52</v>
      </c>
      <c r="G16" s="73"/>
      <c r="H16" s="57">
        <v>176</v>
      </c>
      <c r="I16" s="56">
        <v>199</v>
      </c>
      <c r="J16" s="68">
        <f t="shared" si="1"/>
        <v>-23</v>
      </c>
      <c r="K16" s="76"/>
      <c r="L16" s="57">
        <v>101</v>
      </c>
      <c r="M16" s="56">
        <v>119</v>
      </c>
      <c r="N16" s="68">
        <f t="shared" si="2"/>
        <v>-18</v>
      </c>
      <c r="O16" s="76"/>
      <c r="P16" s="62">
        <f t="shared" si="6"/>
        <v>11</v>
      </c>
      <c r="Q16" s="78"/>
      <c r="R16" s="128">
        <v>2547</v>
      </c>
      <c r="S16" s="139">
        <v>2501</v>
      </c>
      <c r="T16" s="56">
        <f t="shared" si="3"/>
        <v>-46</v>
      </c>
      <c r="U16" s="50"/>
      <c r="V16" s="128">
        <v>2519</v>
      </c>
      <c r="W16" s="109">
        <v>2469</v>
      </c>
      <c r="X16" s="68">
        <f t="shared" si="4"/>
        <v>-50</v>
      </c>
      <c r="Y16" s="79"/>
      <c r="Z16" s="62">
        <f t="shared" si="5"/>
        <v>-96</v>
      </c>
      <c r="AB16" s="62">
        <f>RANK(P16,$P$6:$P$30,1)+COUNTIF($P$6:P16,P16)-1</f>
        <v>14</v>
      </c>
      <c r="AC16" s="65" t="str">
        <f>INDEX(C6:P30,MATCH(15,AB6:AB30,0),1)</f>
        <v>strzyżowski</v>
      </c>
      <c r="AD16" s="56">
        <f>INDEX(C6:P30,MATCH(15,AB6:AB30,0),14)</f>
        <v>12</v>
      </c>
      <c r="AE16" s="116"/>
      <c r="AF16" s="62">
        <f>RANK(Z16,$Z$6:$Z$30,1)+COUNTIF($Z$6:Z16,Z16)-1</f>
        <v>12</v>
      </c>
      <c r="AG16" s="65" t="str">
        <f>INDEX(C6:Z30,MATCH(15,AF6:AF30,0),1)</f>
        <v>tarnobrzeski</v>
      </c>
      <c r="AH16" s="56">
        <f>INDEX(C6:Z30,MATCH(15,AF6:AF30,0),24)</f>
        <v>-44</v>
      </c>
      <c r="AI16" s="79"/>
    </row>
    <row r="17" spans="2:35" x14ac:dyDescent="0.2">
      <c r="B17" s="119">
        <v>12</v>
      </c>
      <c r="C17" s="82" t="s">
        <v>11</v>
      </c>
      <c r="D17" s="147">
        <v>900</v>
      </c>
      <c r="E17" s="148">
        <v>938</v>
      </c>
      <c r="F17" s="104">
        <f t="shared" si="0"/>
        <v>-38</v>
      </c>
      <c r="G17" s="73"/>
      <c r="H17" s="57">
        <v>172</v>
      </c>
      <c r="I17" s="56">
        <v>184</v>
      </c>
      <c r="J17" s="68">
        <f t="shared" si="1"/>
        <v>-12</v>
      </c>
      <c r="K17" s="76"/>
      <c r="L17" s="57">
        <v>125</v>
      </c>
      <c r="M17" s="56">
        <v>164</v>
      </c>
      <c r="N17" s="68">
        <f t="shared" si="2"/>
        <v>-39</v>
      </c>
      <c r="O17" s="76"/>
      <c r="P17" s="62">
        <f>F17+J17+N17</f>
        <v>-89</v>
      </c>
      <c r="Q17" s="78"/>
      <c r="R17" s="128">
        <v>3017</v>
      </c>
      <c r="S17" s="139">
        <v>2872</v>
      </c>
      <c r="T17" s="56">
        <f t="shared" si="3"/>
        <v>-145</v>
      </c>
      <c r="U17" s="50"/>
      <c r="V17" s="128">
        <v>3075</v>
      </c>
      <c r="W17" s="109">
        <v>3081</v>
      </c>
      <c r="X17" s="68">
        <f t="shared" si="4"/>
        <v>6</v>
      </c>
      <c r="Y17" s="79"/>
      <c r="Z17" s="62">
        <f>SUM(T17+X17)</f>
        <v>-139</v>
      </c>
      <c r="AB17" s="62">
        <f>RANK(P17,$P$6:$P$30,1)+COUNTIF($P$6:P17,P17)-1</f>
        <v>3</v>
      </c>
      <c r="AC17" s="65" t="str">
        <f>INDEX(C6:P30,MATCH(14,AB6:AB30,0),1)</f>
        <v>łańcucki</v>
      </c>
      <c r="AD17" s="56">
        <f>INDEX(C6:P30,MATCH(14,AB6:AB30,0),14)</f>
        <v>11</v>
      </c>
      <c r="AE17" s="116"/>
      <c r="AF17" s="62">
        <f>RANK(Z17,$Z$6:$Z$30,1)+COUNTIF($Z$6:Z17,Z17)-1</f>
        <v>10</v>
      </c>
      <c r="AG17" s="65" t="str">
        <f>INDEX(C6:Z30,MATCH(14,AF6:AF30,0),1)</f>
        <v>Przemyśl</v>
      </c>
      <c r="AH17" s="56">
        <f>INDEX(C6:Z30,MATCH(14,AF6:AF30,0),24)</f>
        <v>-51</v>
      </c>
      <c r="AI17" s="79"/>
    </row>
    <row r="18" spans="2:35" x14ac:dyDescent="0.2">
      <c r="B18" s="119">
        <v>13</v>
      </c>
      <c r="C18" s="82" t="s">
        <v>12</v>
      </c>
      <c r="D18" s="147">
        <v>513</v>
      </c>
      <c r="E18" s="148">
        <v>476</v>
      </c>
      <c r="F18" s="104">
        <f t="shared" si="0"/>
        <v>37</v>
      </c>
      <c r="G18" s="73"/>
      <c r="H18" s="57">
        <v>190</v>
      </c>
      <c r="I18" s="56">
        <v>199</v>
      </c>
      <c r="J18" s="68">
        <f t="shared" si="1"/>
        <v>-9</v>
      </c>
      <c r="K18" s="76"/>
      <c r="L18" s="57">
        <v>119</v>
      </c>
      <c r="M18" s="56">
        <v>91</v>
      </c>
      <c r="N18" s="68">
        <f t="shared" si="2"/>
        <v>28</v>
      </c>
      <c r="O18" s="76"/>
      <c r="P18" s="62">
        <f t="shared" si="6"/>
        <v>56</v>
      </c>
      <c r="Q18" s="78"/>
      <c r="R18" s="128">
        <v>3043</v>
      </c>
      <c r="S18" s="139">
        <v>2937</v>
      </c>
      <c r="T18" s="56">
        <f t="shared" si="3"/>
        <v>-106</v>
      </c>
      <c r="U18" s="50"/>
      <c r="V18" s="128">
        <v>2929</v>
      </c>
      <c r="W18" s="109">
        <v>2870</v>
      </c>
      <c r="X18" s="68">
        <f t="shared" si="4"/>
        <v>-59</v>
      </c>
      <c r="Y18" s="79"/>
      <c r="Z18" s="62">
        <f t="shared" si="5"/>
        <v>-165</v>
      </c>
      <c r="AB18" s="62">
        <f>RANK(P18,$P$6:$P$30,1)+COUNTIF($P$6:P18,P18)-1</f>
        <v>21</v>
      </c>
      <c r="AC18" s="65" t="str">
        <f>INDEX(C6:P30,MATCH(13,AB6:AB30,0),1)</f>
        <v>bieszczadzki</v>
      </c>
      <c r="AD18" s="56">
        <f>INDEX(C6:P30,MATCH(13,AB6:AB30,0),14)</f>
        <v>9</v>
      </c>
      <c r="AE18" s="116"/>
      <c r="AF18" s="62">
        <f>RANK(Z18,$Z$6:$Z$30,1)+COUNTIF($Z$6:Z18,Z18)-1</f>
        <v>8</v>
      </c>
      <c r="AG18" s="65" t="str">
        <f>INDEX(C6:Z30,MATCH(13,AF6:AF30,0),1)</f>
        <v>jarosławski</v>
      </c>
      <c r="AH18" s="56">
        <f>INDEX(C6:Z30,MATCH(13,AF6:AF30,0),24)</f>
        <v>-74</v>
      </c>
      <c r="AI18" s="79"/>
    </row>
    <row r="19" spans="2:35" x14ac:dyDescent="0.2">
      <c r="B19" s="119">
        <v>14</v>
      </c>
      <c r="C19" s="82" t="s">
        <v>13</v>
      </c>
      <c r="D19" s="147">
        <v>535</v>
      </c>
      <c r="E19" s="148">
        <v>537</v>
      </c>
      <c r="F19" s="104">
        <f t="shared" si="0"/>
        <v>-2</v>
      </c>
      <c r="G19" s="73"/>
      <c r="H19" s="57">
        <v>186</v>
      </c>
      <c r="I19" s="56">
        <v>217</v>
      </c>
      <c r="J19" s="68">
        <f t="shared" si="1"/>
        <v>-31</v>
      </c>
      <c r="K19" s="76"/>
      <c r="L19" s="57">
        <v>41</v>
      </c>
      <c r="M19" s="56">
        <v>49</v>
      </c>
      <c r="N19" s="68">
        <f t="shared" si="2"/>
        <v>-8</v>
      </c>
      <c r="O19" s="76"/>
      <c r="P19" s="62">
        <f t="shared" si="6"/>
        <v>-41</v>
      </c>
      <c r="Q19" s="78"/>
      <c r="R19" s="128">
        <v>2963</v>
      </c>
      <c r="S19" s="139">
        <v>2792</v>
      </c>
      <c r="T19" s="56">
        <f t="shared" si="3"/>
        <v>-171</v>
      </c>
      <c r="U19" s="50"/>
      <c r="V19" s="128">
        <v>2958</v>
      </c>
      <c r="W19" s="109">
        <v>2855</v>
      </c>
      <c r="X19" s="68">
        <f t="shared" si="4"/>
        <v>-103</v>
      </c>
      <c r="Y19" s="79"/>
      <c r="Z19" s="62">
        <f t="shared" si="5"/>
        <v>-274</v>
      </c>
      <c r="AB19" s="62">
        <f>RANK(P19,$P$6:$P$30,1)+COUNTIF($P$6:P19,P19)-1</f>
        <v>6</v>
      </c>
      <c r="AC19" s="65" t="str">
        <f>INDEX(C6:P30,MATCH(12,AB6:AB30,0),1)</f>
        <v>rzeszowski</v>
      </c>
      <c r="AD19" s="56">
        <f>INDEX(C6:P30,MATCH(12,AB6:AB30,0),14)</f>
        <v>-1</v>
      </c>
      <c r="AE19" s="116"/>
      <c r="AF19" s="62">
        <f>RANK(Z19,$Z$6:$Z$30,1)+COUNTIF($Z$6:Z19,Z19)-1</f>
        <v>4</v>
      </c>
      <c r="AG19" s="65" t="str">
        <f>INDEX(C6:Z30,MATCH(12,AF6:AF30,0),1)</f>
        <v>łańcucki</v>
      </c>
      <c r="AH19" s="56">
        <f>INDEX(C6:Z30,MATCH(12,AF6:AF30,0),24)</f>
        <v>-96</v>
      </c>
      <c r="AI19" s="79"/>
    </row>
    <row r="20" spans="2:35" x14ac:dyDescent="0.2">
      <c r="B20" s="119">
        <v>15</v>
      </c>
      <c r="C20" s="82" t="s">
        <v>14</v>
      </c>
      <c r="D20" s="147">
        <v>690</v>
      </c>
      <c r="E20" s="148">
        <v>729</v>
      </c>
      <c r="F20" s="104">
        <f t="shared" si="0"/>
        <v>-39</v>
      </c>
      <c r="G20" s="73"/>
      <c r="H20" s="57">
        <v>201</v>
      </c>
      <c r="I20" s="56">
        <v>331</v>
      </c>
      <c r="J20" s="68">
        <f t="shared" si="1"/>
        <v>-130</v>
      </c>
      <c r="K20" s="76"/>
      <c r="L20" s="57">
        <v>194</v>
      </c>
      <c r="M20" s="56">
        <v>227</v>
      </c>
      <c r="N20" s="68">
        <f t="shared" si="2"/>
        <v>-33</v>
      </c>
      <c r="O20" s="76"/>
      <c r="P20" s="62">
        <f>F20+J20+N20</f>
        <v>-202</v>
      </c>
      <c r="Q20" s="78"/>
      <c r="R20" s="128">
        <v>3397</v>
      </c>
      <c r="S20" s="139">
        <v>3160</v>
      </c>
      <c r="T20" s="56">
        <f t="shared" si="3"/>
        <v>-237</v>
      </c>
      <c r="U20" s="50"/>
      <c r="V20" s="128">
        <v>3337</v>
      </c>
      <c r="W20" s="109">
        <v>3322</v>
      </c>
      <c r="X20" s="68">
        <f t="shared" si="4"/>
        <v>-15</v>
      </c>
      <c r="Y20" s="79"/>
      <c r="Z20" s="62">
        <f t="shared" si="5"/>
        <v>-252</v>
      </c>
      <c r="AB20" s="62">
        <f>RANK(P20,$P$6:$P$30,1)+COUNTIF($P$6:P20,P20)-1</f>
        <v>1</v>
      </c>
      <c r="AC20" s="65" t="str">
        <f>INDEX(C6:P30,MATCH(11,AB6:AB30,0),1)</f>
        <v>stalowowolski</v>
      </c>
      <c r="AD20" s="56">
        <f>INDEX(C6:P30,MATCH(11,AB6:AB30,0),14)</f>
        <v>-3</v>
      </c>
      <c r="AE20" s="116"/>
      <c r="AF20" s="62">
        <f>RANK(Z20,$Z$6:$Z$30,1)+COUNTIF($Z$6:Z20,Z20)-1</f>
        <v>5</v>
      </c>
      <c r="AG20" s="65" t="str">
        <f>INDEX(C6:Z30,MATCH(11,AF6:AF30,0),1)</f>
        <v>leski</v>
      </c>
      <c r="AH20" s="56">
        <f>INDEX(C6:Z30,MATCH(11,AF6:AF30,0),24)</f>
        <v>-131</v>
      </c>
      <c r="AI20" s="79"/>
    </row>
    <row r="21" spans="2:35" ht="12" customHeight="1" x14ac:dyDescent="0.2">
      <c r="B21" s="119">
        <v>16</v>
      </c>
      <c r="C21" s="82" t="s">
        <v>15</v>
      </c>
      <c r="D21" s="147">
        <v>674</v>
      </c>
      <c r="E21" s="148">
        <v>600</v>
      </c>
      <c r="F21" s="104">
        <f t="shared" si="0"/>
        <v>74</v>
      </c>
      <c r="G21" s="73"/>
      <c r="H21" s="57">
        <v>107</v>
      </c>
      <c r="I21" s="56">
        <v>109</v>
      </c>
      <c r="J21" s="68">
        <f t="shared" si="1"/>
        <v>-2</v>
      </c>
      <c r="K21" s="76"/>
      <c r="L21" s="57">
        <v>88</v>
      </c>
      <c r="M21" s="56">
        <v>83</v>
      </c>
      <c r="N21" s="68">
        <f t="shared" si="2"/>
        <v>5</v>
      </c>
      <c r="O21" s="76"/>
      <c r="P21" s="62">
        <f t="shared" si="6"/>
        <v>77</v>
      </c>
      <c r="Q21" s="78"/>
      <c r="R21" s="128">
        <v>2551</v>
      </c>
      <c r="S21" s="139">
        <v>2695</v>
      </c>
      <c r="T21" s="56">
        <f t="shared" si="3"/>
        <v>144</v>
      </c>
      <c r="U21" s="50"/>
      <c r="V21" s="128">
        <v>2673</v>
      </c>
      <c r="W21" s="109">
        <v>2661</v>
      </c>
      <c r="X21" s="68">
        <f t="shared" si="4"/>
        <v>-12</v>
      </c>
      <c r="Y21" s="79"/>
      <c r="Z21" s="62">
        <f t="shared" si="5"/>
        <v>132</v>
      </c>
      <c r="AB21" s="62">
        <f>RANK(P21,$P$6:$P$30,1)+COUNTIF($P$6:P21,P21)-1</f>
        <v>22</v>
      </c>
      <c r="AC21" s="65" t="str">
        <f>INDEX(C6:P30,MATCH(10,AB6:AB30,0),1)</f>
        <v>brzozowski</v>
      </c>
      <c r="AD21" s="56">
        <f>INDEX(C6:P30,MATCH(10,AB6:AB30,0),14)</f>
        <v>-8</v>
      </c>
      <c r="AE21" s="116"/>
      <c r="AF21" s="62">
        <f>RANK(Z21,$Z$6:$Z$30,1)+COUNTIF($Z$6:Z21,Z21)-1</f>
        <v>23</v>
      </c>
      <c r="AG21" s="65" t="str">
        <f>INDEX(C6:Z30,MATCH(10,AF6:AF30,0),1)</f>
        <v>mielecki</v>
      </c>
      <c r="AH21" s="56">
        <f>INDEX(C6:Z30,MATCH(10,AF6:AF30,0),24)</f>
        <v>-139</v>
      </c>
      <c r="AI21" s="79"/>
    </row>
    <row r="22" spans="2:35" x14ac:dyDescent="0.2">
      <c r="B22" s="119">
        <v>17</v>
      </c>
      <c r="C22" s="82" t="s">
        <v>16</v>
      </c>
      <c r="D22" s="147">
        <v>1019</v>
      </c>
      <c r="E22" s="148">
        <v>1064</v>
      </c>
      <c r="F22" s="104">
        <f t="shared" si="0"/>
        <v>-45</v>
      </c>
      <c r="G22" s="73"/>
      <c r="H22" s="57">
        <v>167</v>
      </c>
      <c r="I22" s="56">
        <v>140</v>
      </c>
      <c r="J22" s="68">
        <f t="shared" si="1"/>
        <v>27</v>
      </c>
      <c r="K22" s="76"/>
      <c r="L22" s="57">
        <v>102</v>
      </c>
      <c r="M22" s="56">
        <v>85</v>
      </c>
      <c r="N22" s="68">
        <f t="shared" si="2"/>
        <v>17</v>
      </c>
      <c r="O22" s="76"/>
      <c r="P22" s="62">
        <f t="shared" si="6"/>
        <v>-1</v>
      </c>
      <c r="Q22" s="78"/>
      <c r="R22" s="128">
        <v>4670</v>
      </c>
      <c r="S22" s="139">
        <v>4604</v>
      </c>
      <c r="T22" s="56">
        <f t="shared" si="3"/>
        <v>-66</v>
      </c>
      <c r="U22" s="50"/>
      <c r="V22" s="128">
        <v>4540</v>
      </c>
      <c r="W22" s="109">
        <v>4600</v>
      </c>
      <c r="X22" s="68">
        <f t="shared" si="4"/>
        <v>60</v>
      </c>
      <c r="Y22" s="79"/>
      <c r="Z22" s="62">
        <f t="shared" si="5"/>
        <v>-6</v>
      </c>
      <c r="AB22" s="62">
        <f>RANK(P22,$P$6:$P$30,1)+COUNTIF($P$6:P22,P22)-1</f>
        <v>12</v>
      </c>
      <c r="AC22" s="65" t="str">
        <f>INDEX(C6:P30,MATCH(9,AB6:AB30,0),1)</f>
        <v>Przemyśl</v>
      </c>
      <c r="AD22" s="56">
        <f>INDEX(C6:P30,MATCH(9,AB6:AB30,0),14)</f>
        <v>-16</v>
      </c>
      <c r="AE22" s="116"/>
      <c r="AF22" s="62">
        <f>RANK(Z22,$Z$6:$Z$30,1)+COUNTIF($Z$6:Z22,Z22)-1</f>
        <v>17</v>
      </c>
      <c r="AG22" s="158" t="str">
        <f>INDEX(C6:Z30,MATCH(9,AF6:AF30,0),1)</f>
        <v>bieszczadzki</v>
      </c>
      <c r="AH22" s="56">
        <f>INDEX(C6:Z30,MATCH(9,AF6:AF30,0),24)</f>
        <v>-143</v>
      </c>
      <c r="AI22" s="79"/>
    </row>
    <row r="23" spans="2:35" x14ac:dyDescent="0.2">
      <c r="B23" s="119">
        <v>18</v>
      </c>
      <c r="C23" s="82" t="s">
        <v>17</v>
      </c>
      <c r="D23" s="147">
        <v>672</v>
      </c>
      <c r="E23" s="148">
        <v>641</v>
      </c>
      <c r="F23" s="104">
        <f t="shared" si="0"/>
        <v>31</v>
      </c>
      <c r="G23" s="73"/>
      <c r="H23" s="57">
        <v>128</v>
      </c>
      <c r="I23" s="56">
        <v>104</v>
      </c>
      <c r="J23" s="68">
        <f t="shared" si="1"/>
        <v>24</v>
      </c>
      <c r="K23" s="76"/>
      <c r="L23" s="57">
        <v>43</v>
      </c>
      <c r="M23" s="56">
        <v>49</v>
      </c>
      <c r="N23" s="68">
        <f t="shared" si="2"/>
        <v>-6</v>
      </c>
      <c r="O23" s="76"/>
      <c r="P23" s="62">
        <f t="shared" si="6"/>
        <v>49</v>
      </c>
      <c r="Q23" s="78"/>
      <c r="R23" s="128">
        <v>2737</v>
      </c>
      <c r="S23" s="139">
        <v>2728</v>
      </c>
      <c r="T23" s="56">
        <f t="shared" si="3"/>
        <v>-9</v>
      </c>
      <c r="U23" s="50"/>
      <c r="V23" s="128">
        <v>2881</v>
      </c>
      <c r="W23" s="109">
        <v>2987</v>
      </c>
      <c r="X23" s="68">
        <f t="shared" si="4"/>
        <v>106</v>
      </c>
      <c r="Y23" s="79"/>
      <c r="Z23" s="62">
        <f t="shared" si="5"/>
        <v>97</v>
      </c>
      <c r="AB23" s="62">
        <f>RANK(P23,$P$6:$P$30,1)+COUNTIF($P$6:P23,P23)-1</f>
        <v>18</v>
      </c>
      <c r="AC23" s="65" t="str">
        <f>INDEX(C6:P30,MATCH(8,AB6:AB30,0),1)</f>
        <v>lubaczowski</v>
      </c>
      <c r="AD23" s="56">
        <f>INDEX(C6:P30,MATCH(8,AB6:AB30,0),14)</f>
        <v>-17</v>
      </c>
      <c r="AE23" s="116"/>
      <c r="AF23" s="62">
        <f>RANK(Z23,$Z$6:$Z$30,1)+COUNTIF($Z$6:Z23,Z23)-1</f>
        <v>20</v>
      </c>
      <c r="AG23" s="65" t="str">
        <f>INDEX(C6:Z30,MATCH(8,AF6:AF30,0),1)</f>
        <v>niżański</v>
      </c>
      <c r="AH23" s="56">
        <f>INDEX(C6:Z30,MATCH(8,AF6:AF30,0),24)</f>
        <v>-165</v>
      </c>
      <c r="AI23" s="79"/>
    </row>
    <row r="24" spans="2:35" x14ac:dyDescent="0.2">
      <c r="B24" s="119">
        <v>19</v>
      </c>
      <c r="C24" s="82" t="s">
        <v>18</v>
      </c>
      <c r="D24" s="147">
        <v>542</v>
      </c>
      <c r="E24" s="148">
        <v>590</v>
      </c>
      <c r="F24" s="104">
        <f t="shared" si="0"/>
        <v>-48</v>
      </c>
      <c r="G24" s="73"/>
      <c r="H24" s="57">
        <v>124</v>
      </c>
      <c r="I24" s="56">
        <v>109</v>
      </c>
      <c r="J24" s="68">
        <f t="shared" si="1"/>
        <v>15</v>
      </c>
      <c r="K24" s="76"/>
      <c r="L24" s="57">
        <v>121</v>
      </c>
      <c r="M24" s="56">
        <v>91</v>
      </c>
      <c r="N24" s="68">
        <f>L24-M24</f>
        <v>30</v>
      </c>
      <c r="O24" s="76"/>
      <c r="P24" s="62">
        <f t="shared" si="6"/>
        <v>-3</v>
      </c>
      <c r="Q24" s="78"/>
      <c r="R24" s="128">
        <v>1943</v>
      </c>
      <c r="S24" s="139">
        <v>1959</v>
      </c>
      <c r="T24" s="56">
        <f t="shared" si="3"/>
        <v>16</v>
      </c>
      <c r="U24" s="50"/>
      <c r="V24" s="128">
        <v>2098</v>
      </c>
      <c r="W24" s="109">
        <v>2206</v>
      </c>
      <c r="X24" s="68">
        <f t="shared" si="4"/>
        <v>108</v>
      </c>
      <c r="Y24" s="79"/>
      <c r="Z24" s="62">
        <f t="shared" si="5"/>
        <v>124</v>
      </c>
      <c r="AB24" s="62">
        <f>RANK(P24,$P$6:$P$30,1)+COUNTIF($P$6:P24,P24)-1</f>
        <v>11</v>
      </c>
      <c r="AC24" s="65" t="str">
        <f>INDEX(C6:P30,MATCH(7,AB6:AB30,0),1)</f>
        <v>Krosno</v>
      </c>
      <c r="AD24" s="56">
        <f>INDEX(C6:P30,MATCH(7,AB6:AB30,0),14)</f>
        <v>-30</v>
      </c>
      <c r="AE24" s="116"/>
      <c r="AF24" s="62">
        <f>RANK(Z24,$Z$6:$Z$30,1)+COUNTIF($Z$6:Z24,Z24)-1</f>
        <v>22</v>
      </c>
      <c r="AG24" s="65" t="str">
        <f>INDEX(C6:Z30,MATCH(7,AF6:AF30,0),1)</f>
        <v>leżajski</v>
      </c>
      <c r="AH24" s="56">
        <f>INDEX(C6:Z30,MATCH(7,AF6:AF30,0),24)</f>
        <v>-173</v>
      </c>
      <c r="AI24" s="79"/>
    </row>
    <row r="25" spans="2:35" x14ac:dyDescent="0.2">
      <c r="B25" s="119">
        <v>20</v>
      </c>
      <c r="C25" s="82" t="s">
        <v>19</v>
      </c>
      <c r="D25" s="147">
        <v>548</v>
      </c>
      <c r="E25" s="148">
        <v>704</v>
      </c>
      <c r="F25" s="104">
        <f t="shared" si="0"/>
        <v>-156</v>
      </c>
      <c r="G25" s="73"/>
      <c r="H25" s="57">
        <v>222</v>
      </c>
      <c r="I25" s="56">
        <v>162</v>
      </c>
      <c r="J25" s="68">
        <f t="shared" si="1"/>
        <v>60</v>
      </c>
      <c r="K25" s="76"/>
      <c r="L25" s="57">
        <v>248</v>
      </c>
      <c r="M25" s="56">
        <v>140</v>
      </c>
      <c r="N25" s="68">
        <f t="shared" si="2"/>
        <v>108</v>
      </c>
      <c r="O25" s="76"/>
      <c r="P25" s="62">
        <f t="shared" si="6"/>
        <v>12</v>
      </c>
      <c r="Q25" s="78"/>
      <c r="R25" s="128">
        <v>3125</v>
      </c>
      <c r="S25" s="139">
        <v>3059</v>
      </c>
      <c r="T25" s="56">
        <f t="shared" si="3"/>
        <v>-66</v>
      </c>
      <c r="U25" s="50"/>
      <c r="V25" s="128">
        <v>3113</v>
      </c>
      <c r="W25" s="109">
        <v>2996</v>
      </c>
      <c r="X25" s="68">
        <f t="shared" si="4"/>
        <v>-117</v>
      </c>
      <c r="Y25" s="79"/>
      <c r="Z25" s="62">
        <f t="shared" si="5"/>
        <v>-183</v>
      </c>
      <c r="AB25" s="62">
        <f>RANK(P25,$P$6:$P$30,1)+COUNTIF($P$6:P25,P25)-1</f>
        <v>15</v>
      </c>
      <c r="AC25" s="65" t="str">
        <f>INDEX(C6:P30,MATCH(6,AB6:AB30,0),1)</f>
        <v>przemyski</v>
      </c>
      <c r="AD25" s="56">
        <f>INDEX(C6:P30,MATCH(6,AB6:AB30,0),14)</f>
        <v>-41</v>
      </c>
      <c r="AE25" s="116"/>
      <c r="AF25" s="62">
        <f>RANK(Z25,$Z$6:$Z$30,1)+COUNTIF($Z$6:Z25,Z25)-1</f>
        <v>6</v>
      </c>
      <c r="AG25" s="65" t="str">
        <f>INDEX(C6:Z30,MATCH(6,AF6:AF30,0),1)</f>
        <v>strzyżowski</v>
      </c>
      <c r="AH25" s="56">
        <f>INDEX(C6:Z30,MATCH(6,AF6:AF30,0),24)</f>
        <v>-183</v>
      </c>
      <c r="AI25" s="79"/>
    </row>
    <row r="26" spans="2:35" ht="12" thickBot="1" x14ac:dyDescent="0.25">
      <c r="B26" s="119">
        <v>21</v>
      </c>
      <c r="C26" s="83" t="s">
        <v>51</v>
      </c>
      <c r="D26" s="149">
        <v>349</v>
      </c>
      <c r="E26" s="150">
        <v>322</v>
      </c>
      <c r="F26" s="105">
        <f t="shared" si="0"/>
        <v>27</v>
      </c>
      <c r="G26" s="73"/>
      <c r="H26" s="60">
        <v>137</v>
      </c>
      <c r="I26" s="58">
        <v>153</v>
      </c>
      <c r="J26" s="70">
        <f t="shared" si="1"/>
        <v>-16</v>
      </c>
      <c r="K26" s="76"/>
      <c r="L26" s="60">
        <v>50</v>
      </c>
      <c r="M26" s="58">
        <v>49</v>
      </c>
      <c r="N26" s="70">
        <f t="shared" si="2"/>
        <v>1</v>
      </c>
      <c r="O26" s="76"/>
      <c r="P26" s="86">
        <f t="shared" si="6"/>
        <v>12</v>
      </c>
      <c r="Q26" s="78"/>
      <c r="R26" s="129">
        <v>1251</v>
      </c>
      <c r="S26" s="140">
        <v>1228</v>
      </c>
      <c r="T26" s="59">
        <f t="shared" si="3"/>
        <v>-23</v>
      </c>
      <c r="U26" s="50"/>
      <c r="V26" s="129">
        <v>1243</v>
      </c>
      <c r="W26" s="111">
        <v>1222</v>
      </c>
      <c r="X26" s="69">
        <f t="shared" si="4"/>
        <v>-21</v>
      </c>
      <c r="Y26" s="79"/>
      <c r="Z26" s="86">
        <f t="shared" si="5"/>
        <v>-44</v>
      </c>
      <c r="AB26" s="114">
        <f>RANK(P26,$P$6:$P$30,1)+COUNTIF($P$6:P26,P26)-1</f>
        <v>16</v>
      </c>
      <c r="AC26" s="87" t="str">
        <f>INDEX(C6:P30,MATCH(5,AB6:AB30,0),1)</f>
        <v>Tarnobrzeg</v>
      </c>
      <c r="AD26" s="59">
        <f>INDEX(C6:P30,MATCH(5,AB6:AB30,0),14)</f>
        <v>-54</v>
      </c>
      <c r="AE26" s="116"/>
      <c r="AF26" s="114">
        <f>RANK(Z26,$Z$6:$Z$30,1)+COUNTIF($Z$6:Z26,Z26)-1</f>
        <v>15</v>
      </c>
      <c r="AG26" s="162" t="str">
        <f>INDEX(C6:Z30,MATCH(5,AF6:AF30,0),1)</f>
        <v>przeworski</v>
      </c>
      <c r="AH26" s="163">
        <f>INDEX(C6:Z30,MATCH(5,AF6:AF30,0),24)</f>
        <v>-252</v>
      </c>
      <c r="AI26" s="79"/>
    </row>
    <row r="27" spans="2:35" x14ac:dyDescent="0.2">
      <c r="B27" s="119">
        <v>22</v>
      </c>
      <c r="C27" s="84" t="s">
        <v>21</v>
      </c>
      <c r="D27" s="147">
        <v>216</v>
      </c>
      <c r="E27" s="151">
        <v>232</v>
      </c>
      <c r="F27" s="106">
        <f t="shared" si="0"/>
        <v>-16</v>
      </c>
      <c r="G27" s="74"/>
      <c r="H27" s="57">
        <v>35</v>
      </c>
      <c r="I27" s="56">
        <v>50</v>
      </c>
      <c r="J27" s="68">
        <f t="shared" si="1"/>
        <v>-15</v>
      </c>
      <c r="K27" s="76"/>
      <c r="L27" s="57">
        <v>26</v>
      </c>
      <c r="M27" s="56">
        <v>25</v>
      </c>
      <c r="N27" s="68">
        <f t="shared" si="2"/>
        <v>1</v>
      </c>
      <c r="O27" s="76"/>
      <c r="P27" s="62">
        <f t="shared" si="6"/>
        <v>-30</v>
      </c>
      <c r="Q27" s="78"/>
      <c r="R27" s="128">
        <v>790</v>
      </c>
      <c r="S27" s="56">
        <v>862</v>
      </c>
      <c r="T27" s="54">
        <f t="shared" si="3"/>
        <v>72</v>
      </c>
      <c r="U27" s="50"/>
      <c r="V27" s="128">
        <v>814</v>
      </c>
      <c r="W27" s="109">
        <v>864</v>
      </c>
      <c r="X27" s="108">
        <f t="shared" si="4"/>
        <v>50</v>
      </c>
      <c r="Y27" s="78"/>
      <c r="Z27" s="62">
        <f t="shared" si="5"/>
        <v>122</v>
      </c>
      <c r="AB27" s="61">
        <f>RANK(P27,$P$6:$P$30,1)+COUNTIF($P$6:P27,P27)-1</f>
        <v>7</v>
      </c>
      <c r="AC27" s="64" t="str">
        <f>INDEX(C6:P30,MATCH(4,AB6:AB30,0),1)</f>
        <v>Rzeszów</v>
      </c>
      <c r="AD27" s="54">
        <f>INDEX(C6:P30,MATCH(4,AB6:AB30,0),14)</f>
        <v>-54</v>
      </c>
      <c r="AE27" s="116"/>
      <c r="AF27" s="61">
        <f>RANK(Z27,$Z$6:$Z$30,1)+COUNTIF($Z$6:Z27,Z27)-1</f>
        <v>21</v>
      </c>
      <c r="AG27" s="64" t="str">
        <f>INDEX(C6:Z30,MATCH(4,AF6:AF30,0),1)</f>
        <v>przemyski</v>
      </c>
      <c r="AH27" s="54">
        <f>INDEX(C6:Z30,MATCH(4,AF6:AF30,0),24)</f>
        <v>-274</v>
      </c>
      <c r="AI27" s="79"/>
    </row>
    <row r="28" spans="2:35" x14ac:dyDescent="0.2">
      <c r="B28" s="119">
        <v>23</v>
      </c>
      <c r="C28" s="84" t="s">
        <v>22</v>
      </c>
      <c r="D28" s="147">
        <v>383</v>
      </c>
      <c r="E28" s="151">
        <v>351</v>
      </c>
      <c r="F28" s="106">
        <f t="shared" si="0"/>
        <v>32</v>
      </c>
      <c r="G28" s="74"/>
      <c r="H28" s="57">
        <v>118</v>
      </c>
      <c r="I28" s="56">
        <v>166</v>
      </c>
      <c r="J28" s="68">
        <f t="shared" si="1"/>
        <v>-48</v>
      </c>
      <c r="K28" s="76"/>
      <c r="L28" s="57">
        <v>29</v>
      </c>
      <c r="M28" s="56">
        <v>29</v>
      </c>
      <c r="N28" s="68">
        <f t="shared" si="2"/>
        <v>0</v>
      </c>
      <c r="O28" s="76"/>
      <c r="P28" s="62">
        <f t="shared" si="6"/>
        <v>-16</v>
      </c>
      <c r="Q28" s="78"/>
      <c r="R28" s="128">
        <v>2346</v>
      </c>
      <c r="S28" s="139">
        <v>2314</v>
      </c>
      <c r="T28" s="56">
        <f t="shared" si="3"/>
        <v>-32</v>
      </c>
      <c r="U28" s="50"/>
      <c r="V28" s="128">
        <v>2338</v>
      </c>
      <c r="W28" s="109">
        <v>2319</v>
      </c>
      <c r="X28" s="68">
        <f t="shared" si="4"/>
        <v>-19</v>
      </c>
      <c r="Y28" s="79"/>
      <c r="Z28" s="62">
        <f t="shared" si="5"/>
        <v>-51</v>
      </c>
      <c r="AB28" s="62">
        <f>RANK(P28,$P$6:$P$30,1)+COUNTIF($P$6:P28,P28)-1</f>
        <v>9</v>
      </c>
      <c r="AC28" s="65" t="str">
        <f>INDEX(C6:P30,MATCH(3,AB6:AB30,0),1)</f>
        <v>mielecki</v>
      </c>
      <c r="AD28" s="56">
        <f>INDEX(C6:P30,MATCH(3,AB6:AB30,0),14)</f>
        <v>-89</v>
      </c>
      <c r="AE28" s="116"/>
      <c r="AF28" s="62">
        <f>RANK(Z28,$Z$6:$Z$30,1)+COUNTIF($Z$6:Z28,Z28)-1</f>
        <v>14</v>
      </c>
      <c r="AG28" s="65" t="str">
        <f>INDEX(C6:Z30,MATCH(3,AF6:AF30,0),1)</f>
        <v>jasielski</v>
      </c>
      <c r="AH28" s="56">
        <f>INDEX(C6:Z30,MATCH(3,AF6:AF30,0),24)</f>
        <v>-291</v>
      </c>
      <c r="AI28" s="79"/>
    </row>
    <row r="29" spans="2:35" x14ac:dyDescent="0.2">
      <c r="B29" s="119">
        <v>24</v>
      </c>
      <c r="C29" s="84" t="s">
        <v>23</v>
      </c>
      <c r="D29" s="147">
        <v>1102</v>
      </c>
      <c r="E29" s="151">
        <v>1151</v>
      </c>
      <c r="F29" s="106">
        <f t="shared" si="0"/>
        <v>-49</v>
      </c>
      <c r="G29" s="74"/>
      <c r="H29" s="57">
        <v>128</v>
      </c>
      <c r="I29" s="56">
        <v>137</v>
      </c>
      <c r="J29" s="68">
        <f t="shared" si="1"/>
        <v>-9</v>
      </c>
      <c r="K29" s="76"/>
      <c r="L29" s="57">
        <v>108</v>
      </c>
      <c r="M29" s="56">
        <v>104</v>
      </c>
      <c r="N29" s="68">
        <f t="shared" si="2"/>
        <v>4</v>
      </c>
      <c r="O29" s="76"/>
      <c r="P29" s="62">
        <f t="shared" si="6"/>
        <v>-54</v>
      </c>
      <c r="Q29" s="78"/>
      <c r="R29" s="128">
        <v>5033</v>
      </c>
      <c r="S29" s="139">
        <v>5039</v>
      </c>
      <c r="T29" s="56">
        <f t="shared" si="3"/>
        <v>6</v>
      </c>
      <c r="U29" s="50"/>
      <c r="V29" s="128">
        <v>4957</v>
      </c>
      <c r="W29" s="109">
        <v>5107</v>
      </c>
      <c r="X29" s="68">
        <f t="shared" si="4"/>
        <v>150</v>
      </c>
      <c r="Y29" s="79"/>
      <c r="Z29" s="62">
        <f t="shared" si="5"/>
        <v>156</v>
      </c>
      <c r="AB29" s="62">
        <f>RANK(P29,$P$6:$P$30,1)+COUNTIF($P$6:P29,P29)-1</f>
        <v>4</v>
      </c>
      <c r="AC29" s="160" t="str">
        <f>INDEX(C6:P30,MATCH(2,AB6:AB30,0),1)</f>
        <v>jasielski</v>
      </c>
      <c r="AD29" s="164">
        <f>INDEX(C6:P30,MATCH(2,AB6:AB30,0),14)</f>
        <v>-106</v>
      </c>
      <c r="AE29" s="116"/>
      <c r="AF29" s="62">
        <f>RANK(Z29,$Z$6:$Z$30,1)+COUNTIF($Z$6:Z29,Z29)-1</f>
        <v>25</v>
      </c>
      <c r="AG29" s="65" t="str">
        <f>INDEX(C6:Z30,MATCH(2,AF6:AF30,0),1)</f>
        <v>lubaczowski</v>
      </c>
      <c r="AH29" s="56">
        <f>INDEX(C6:Z30,MATCH(2,AF6:AF30,0),24)</f>
        <v>-312</v>
      </c>
      <c r="AI29" s="79"/>
    </row>
    <row r="30" spans="2:35" ht="12" thickBot="1" x14ac:dyDescent="0.25">
      <c r="B30" s="119">
        <v>25</v>
      </c>
      <c r="C30" s="85" t="s">
        <v>24</v>
      </c>
      <c r="D30" s="149">
        <v>244</v>
      </c>
      <c r="E30" s="152">
        <v>278</v>
      </c>
      <c r="F30" s="107">
        <f t="shared" si="0"/>
        <v>-34</v>
      </c>
      <c r="G30" s="74"/>
      <c r="H30" s="60">
        <v>68</v>
      </c>
      <c r="I30" s="58">
        <v>78</v>
      </c>
      <c r="J30" s="70">
        <f t="shared" si="1"/>
        <v>-10</v>
      </c>
      <c r="K30" s="76"/>
      <c r="L30" s="60">
        <v>61</v>
      </c>
      <c r="M30" s="58">
        <v>71</v>
      </c>
      <c r="N30" s="70">
        <f t="shared" si="2"/>
        <v>-10</v>
      </c>
      <c r="O30" s="76"/>
      <c r="P30" s="86">
        <f t="shared" si="6"/>
        <v>-54</v>
      </c>
      <c r="Q30" s="78"/>
      <c r="R30" s="129">
        <v>1065</v>
      </c>
      <c r="S30" s="140">
        <v>1086</v>
      </c>
      <c r="T30" s="58">
        <f t="shared" si="3"/>
        <v>21</v>
      </c>
      <c r="U30" s="50"/>
      <c r="V30" s="129">
        <v>999</v>
      </c>
      <c r="W30" s="111">
        <v>1013</v>
      </c>
      <c r="X30" s="70">
        <f t="shared" si="4"/>
        <v>14</v>
      </c>
      <c r="Y30" s="79"/>
      <c r="Z30" s="86">
        <f t="shared" si="5"/>
        <v>35</v>
      </c>
      <c r="AB30" s="86">
        <f>RANK(P30,$P$6:$P$30,1)+COUNTIF($P$6:P30,P30)-1</f>
        <v>5</v>
      </c>
      <c r="AC30" s="159" t="str">
        <f>INDEX(C6:P30,MATCH(1,AB6:AB30,0),1)</f>
        <v>przeworski</v>
      </c>
      <c r="AD30" s="58">
        <f>INDEX(C6:P30,MATCH(1,AB6:AB30,0),14)</f>
        <v>-202</v>
      </c>
      <c r="AE30" s="116"/>
      <c r="AF30" s="86">
        <f>RANK(Z30,$Z$6:$Z$30,1)+COUNTIF($Z$6:Z30,Z30)-1</f>
        <v>19</v>
      </c>
      <c r="AG30" s="66" t="str">
        <f>INDEX(C6:Z30,MATCH(1,AF6:AF30,0),1)</f>
        <v>brzozowski</v>
      </c>
      <c r="AH30" s="58">
        <f>INDEX(C6:Z30,MATCH(1,AF6:AF30,0),24)</f>
        <v>-424</v>
      </c>
      <c r="AI30" s="79"/>
    </row>
    <row r="31" spans="2:35" ht="12" thickBot="1" x14ac:dyDescent="0.25">
      <c r="C31" s="88" t="s">
        <v>52</v>
      </c>
      <c r="D31" s="153">
        <f>SUM(D6:D30)</f>
        <v>14576</v>
      </c>
      <c r="E31" s="154">
        <f>SUM(E6:E30)</f>
        <v>14663</v>
      </c>
      <c r="F31" s="93">
        <f t="shared" si="0"/>
        <v>-87</v>
      </c>
      <c r="G31" s="76"/>
      <c r="H31" s="90">
        <f t="shared" ref="H31:R31" si="7">SUM(H6:H30)</f>
        <v>3784</v>
      </c>
      <c r="I31" s="89">
        <f t="shared" si="7"/>
        <v>3798</v>
      </c>
      <c r="J31" s="93">
        <f t="shared" si="1"/>
        <v>-14</v>
      </c>
      <c r="K31" s="76"/>
      <c r="L31" s="90">
        <f t="shared" si="7"/>
        <v>2616</v>
      </c>
      <c r="M31" s="89">
        <f>SUM(M6:M30)</f>
        <v>2435</v>
      </c>
      <c r="N31" s="93">
        <f t="shared" si="2"/>
        <v>181</v>
      </c>
      <c r="O31" s="76"/>
      <c r="P31" s="91">
        <f t="shared" si="7"/>
        <v>80</v>
      </c>
      <c r="Q31" s="79"/>
      <c r="R31" s="130">
        <f t="shared" si="7"/>
        <v>67653</v>
      </c>
      <c r="S31" s="89">
        <f>SUM(S6:S30)</f>
        <v>66247</v>
      </c>
      <c r="T31" s="92">
        <f>SUM(T6:T30)</f>
        <v>-1406</v>
      </c>
      <c r="U31" s="50"/>
      <c r="V31" s="130">
        <f>SUM(V6:V30)</f>
        <v>67336</v>
      </c>
      <c r="W31" s="112">
        <f>SUM(W6:W30)</f>
        <v>66808</v>
      </c>
      <c r="X31" s="112">
        <f>SUM(W31-V31)</f>
        <v>-528</v>
      </c>
      <c r="Y31" s="78"/>
      <c r="Z31" s="91">
        <f t="shared" si="5"/>
        <v>-1934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5" style="3" customWidth="1"/>
    <col min="30" max="30" width="6.5703125" style="3" customWidth="1"/>
    <col min="31" max="31" width="16.140625" style="3" customWidth="1"/>
    <col min="32" max="32" width="14.5703125" style="3" customWidth="1"/>
    <col min="33" max="33" width="2.7109375" style="3" customWidth="1"/>
    <col min="34" max="34" width="7" style="3" customWidth="1"/>
    <col min="35" max="35" width="15.28515625" style="3" customWidth="1"/>
    <col min="36" max="36" width="14.140625" style="3" customWidth="1"/>
    <col min="37" max="16384" width="9.140625" style="3"/>
  </cols>
  <sheetData>
    <row r="1" spans="2:36" ht="45.75" customHeight="1" x14ac:dyDescent="0.2">
      <c r="B1" s="2" t="s">
        <v>32</v>
      </c>
      <c r="V1" s="173" t="s">
        <v>104</v>
      </c>
      <c r="W1" s="173"/>
      <c r="X1" s="173"/>
      <c r="Y1" s="174"/>
      <c r="Z1" s="173" t="s">
        <v>102</v>
      </c>
      <c r="AA1" s="173"/>
      <c r="AB1" s="173"/>
      <c r="AC1" s="174"/>
      <c r="AD1" s="172" t="s">
        <v>103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42</v>
      </c>
      <c r="C3" s="36" t="str">
        <f>T('1bzr.'!B2)</f>
        <v>powiaty</v>
      </c>
      <c r="D3" s="37" t="str">
        <f>T('1bzr.'!C2)</f>
        <v>liczba bezrobotnych ogółem stan na 30-04-'25 r.</v>
      </c>
      <c r="E3" s="38" t="str">
        <f>T('1bzr.'!D2)</f>
        <v>liczba bezrobotnych ogółem stan na 31-03-'25 r.</v>
      </c>
      <c r="F3" s="37" t="str">
        <f>T('1bzr.'!E2)</f>
        <v>wzrost/spadek do miesiąca poprzedniego</v>
      </c>
      <c r="G3" s="38" t="str">
        <f>T('1bzr.'!G2)</f>
        <v>liczba bezrobotnych ogółem stan na 30-04-'24 r.</v>
      </c>
      <c r="H3" s="37" t="str">
        <f>T('1bzr.'!H2)</f>
        <v>wzrost/spadek do analogicznego okresu ubr.</v>
      </c>
      <c r="V3" s="175" t="s">
        <v>42</v>
      </c>
      <c r="W3" s="176" t="str">
        <f>T('1bzr.'!B2)</f>
        <v>powiaty</v>
      </c>
      <c r="X3" s="177" t="str">
        <f>T('1bzr.'!E2)</f>
        <v>wzrost/spadek do miesiąca poprzedniego</v>
      </c>
      <c r="Y3" s="122"/>
      <c r="Z3" s="175" t="s">
        <v>42</v>
      </c>
      <c r="AA3" s="175" t="s">
        <v>27</v>
      </c>
      <c r="AB3" s="178">
        <v>45747</v>
      </c>
      <c r="AD3" s="179" t="s">
        <v>42</v>
      </c>
      <c r="AE3" s="180" t="str">
        <f>T('1bzr.'!B2)</f>
        <v>powiaty</v>
      </c>
      <c r="AF3" s="180" t="str">
        <f>T('1bzr.'!C2)</f>
        <v>liczba bezrobotnych ogółem stan na 30-04-'25 r.</v>
      </c>
      <c r="AH3" s="179" t="s">
        <v>42</v>
      </c>
      <c r="AI3" s="180" t="str">
        <f>T('1bzr.'!B2)</f>
        <v>powiaty</v>
      </c>
      <c r="AJ3" s="180" t="str">
        <f>T('1bzr.'!C2)</f>
        <v>liczba bezrobotnych ogółem stan na 30-04-'25 r.</v>
      </c>
    </row>
    <row r="4" spans="2:36" x14ac:dyDescent="0.2">
      <c r="B4" s="6">
        <f>RANK('1bzr.'!C3,'1bzr.'!$C$3:'1bzr.'!$C$28,1)+COUNTIF('1bzr.'!$C$3:'1bzr.'!C3,'1bzr.'!C3)-1</f>
        <v>3</v>
      </c>
      <c r="C4" s="5" t="str">
        <f>INDEX('1bzr.'!B3:H28,MATCH(1,B4:B29,0),1)</f>
        <v>Krosno</v>
      </c>
      <c r="D4" s="24">
        <f>INDEX('1bzr.'!B3:H28,MATCH(1,B4:B29,0),2)</f>
        <v>864</v>
      </c>
      <c r="E4" s="42">
        <f>INDEX('1bzr.'!B3:H28,MATCH(1,B4:B29,0),3)</f>
        <v>882</v>
      </c>
      <c r="F4" s="6">
        <f>INDEX('1bzr.'!B3:H28,MATCH(1,B4:B29,0),4)</f>
        <v>-18</v>
      </c>
      <c r="G4" s="42">
        <f>INDEX('1bzr.'!B3:H28,MATCH(1,B4:B29,0),5)</f>
        <v>-2.0408163265306123</v>
      </c>
      <c r="H4" s="6">
        <f>INDEX('1bzr.'!B3:H28,MATCH(1,B4:B29,0),6)</f>
        <v>862</v>
      </c>
      <c r="V4" s="165">
        <f>RANK('1bzr.'!E3,'1bzr.'!$E$3:'1bzr.'!$E$28,1)+COUNTIF('1bzr.'!$E$3:'1bzr.'!E3,'1bzr.'!E3)-1</f>
        <v>20</v>
      </c>
      <c r="W4" s="167" t="str">
        <f>INDEX('1bzr.'!B3:H28,MATCH(1,V4:V29,0),1)</f>
        <v>województwo</v>
      </c>
      <c r="X4" s="168">
        <f>INDEX('1bzr.'!E3:H28,MATCH(1,V4:V29,0),1)</f>
        <v>-2223</v>
      </c>
      <c r="Y4" s="166"/>
      <c r="Z4" s="170">
        <f>RANK('1bzr.'!F3,'1bzr.'!$F$3:'1bzr.'!$F$28,1)+COUNTIF('1bzr.'!$F$3:'1bzr.'!F3,'1bzr.'!F3)-1</f>
        <v>3</v>
      </c>
      <c r="AA4" s="171" t="str">
        <f>INDEX('1bzr.'!B3:H28,MATCH(1,Z4:Z29,0),1)</f>
        <v>lubaczowski</v>
      </c>
      <c r="AB4" s="8">
        <f>INDEX('1bzr.'!D3:H28,MATCH(1,Z4:Z29,0),3)</f>
        <v>-6.1475409836065573</v>
      </c>
      <c r="AC4" s="2"/>
      <c r="AD4" s="6">
        <f>RANK('1bzr.'!C3,'1bzr.'!$C$3:'1bzr.'!$C$28,1)+COUNTIF('1bzr.'!$C$3:'1bzr.'!C3,'1bzr.'!C3)-1</f>
        <v>3</v>
      </c>
      <c r="AE4" s="121" t="str">
        <f>INDEX('1bzr.'!B3:H28,MATCH(25,AD4:AD29,0),1)</f>
        <v>Rzeszów</v>
      </c>
      <c r="AF4" s="6">
        <f>INDEX('1bzr.'!B3:H28,MATCH(25,AD4:AD29,0),2)</f>
        <v>5107</v>
      </c>
      <c r="AH4" s="6">
        <f>RANK('1bzr.'!C3,'1bzr.'!$C$3:'1bzr.'!$C$28,1)+COUNTIF('1bzr.'!$C$3:'1bzr.'!C3,'1bzr.'!C3)-1</f>
        <v>3</v>
      </c>
      <c r="AI4" s="121" t="str">
        <f>INDEX('1bzr.'!B3:H28,MATCH(1,AH4:AH29,0),1)</f>
        <v>Krosno</v>
      </c>
      <c r="AJ4" s="6">
        <f>INDEX('1bzr.'!B3:L28,MATCH(1,AH4:AH29,0),2)</f>
        <v>864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Tarnobrzeg</v>
      </c>
      <c r="D5" s="6">
        <f>INDEX('1bzr.'!B3:H28,MATCH(2,B4:B29,0),2)</f>
        <v>1013</v>
      </c>
      <c r="E5" s="42">
        <f>INDEX('1bzr.'!B3:H28,MATCH(2,B4:B29,0),3)</f>
        <v>1048</v>
      </c>
      <c r="F5" s="6">
        <f>INDEX('1bzr.'!B3:H28,MATCH(2,B4:B29,0),4)</f>
        <v>-35</v>
      </c>
      <c r="G5" s="42">
        <f>INDEX('1bzr.'!B3:H28,MATCH(2,B4:B29,0),5)</f>
        <v>-3.3396946564885495</v>
      </c>
      <c r="H5" s="6">
        <f>INDEX('1bzr.'!B3:H28,MATCH(2,B4:B29,0),6)</f>
        <v>1086</v>
      </c>
      <c r="V5" s="6">
        <f>RANK('1bzr.'!E4,'1bzr.'!$E$3:'1bzr.'!$E$28,1)+COUNTIF('1bzr.'!$E$3:'1bzr.'!E4,'1bzr.'!E4)-1</f>
        <v>4</v>
      </c>
      <c r="W5" s="125" t="str">
        <f>INDEX('1bzr.'!B3:H28,MATCH(2,V4:V29,0),1)</f>
        <v>jarosławski</v>
      </c>
      <c r="X5" s="6">
        <f>INDEX('1bzr.'!E3:H28,MATCH(2,V4:V29,0),1)</f>
        <v>-205</v>
      </c>
      <c r="Y5" s="135">
        <v>1</v>
      </c>
      <c r="Z5" s="170">
        <f>RANK('1bzr.'!F4,'1bzr.'!$F$3:'1bzr.'!$F$28,1)+COUNTIF('1bzr.'!$F$3:'1bzr.'!F4,'1bzr.'!F4)-1</f>
        <v>9</v>
      </c>
      <c r="AA5" s="171" t="str">
        <f>INDEX('1bzr.'!B3:G28,MATCH(2,Z4:Z29,0),1)</f>
        <v>dębicki</v>
      </c>
      <c r="AB5" s="8">
        <f>INDEX('1bzr.'!D3:H28,MATCH(2,Z4:Z29,0),3)</f>
        <v>-5.8994599085999164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4833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Tarnobrzeg</v>
      </c>
      <c r="AJ5" s="6">
        <f>INDEX('1bzr.'!B3:L28,MATCH(2,AH4:AH29,0),2)</f>
        <v>1013</v>
      </c>
    </row>
    <row r="6" spans="2:36" x14ac:dyDescent="0.2">
      <c r="B6" s="6">
        <f>RANK('1bzr.'!C5,'1bzr.'!$C$3:'1bzr.'!$C$28,1)+COUNTIF('1bzr.'!$C$3:'1bzr.'!C5,'1bzr.'!C5)-1</f>
        <v>9</v>
      </c>
      <c r="C6" s="5" t="str">
        <f>INDEX('1bzr.'!B3:H28,MATCH(3,B4:B29,0),1)</f>
        <v>bieszczadzki</v>
      </c>
      <c r="D6" s="6">
        <f>INDEX('1bzr.'!B3:H28,MATCH(3,B4:B29,0),2)</f>
        <v>1033</v>
      </c>
      <c r="E6" s="42">
        <f>INDEX('1bzr.'!B3:H28,MATCH(3,B4:B29,0),3)</f>
        <v>1095</v>
      </c>
      <c r="F6" s="6">
        <f>INDEX('1bzr.'!B3:H28,MATCH(3,B4:B29,0),4)</f>
        <v>-62</v>
      </c>
      <c r="G6" s="42">
        <f>INDEX('1bzr.'!B3:H28,MATCH(3,B4:B29,0),5)</f>
        <v>-5.6621004566210047</v>
      </c>
      <c r="H6" s="6">
        <f>INDEX('1bzr.'!B3:H28,MATCH(3,B4:B29,0),6)</f>
        <v>1039</v>
      </c>
      <c r="V6" s="6">
        <f>RANK('1bzr.'!E5,'1bzr.'!$E$3:'1bzr.'!$E$28,1)+COUNTIF('1bzr.'!$E$3:'1bzr.'!E5,'1bzr.'!E5)-1</f>
        <v>6</v>
      </c>
      <c r="W6" s="136" t="str">
        <f>INDEX('1bzr.'!B3:H28,MATCH(3,V4:V29,0),1)</f>
        <v>jasielski</v>
      </c>
      <c r="X6" s="6">
        <f>INDEX('1bzr.'!E3:H28,MATCH(3,V4:V29,0),1)</f>
        <v>-163</v>
      </c>
      <c r="Y6" s="135">
        <v>2</v>
      </c>
      <c r="Z6" s="170">
        <f>RANK('1bzr.'!F5,'1bzr.'!$F$3:'1bzr.'!$F$28,1)+COUNTIF('1bzr.'!$F$3:'1bzr.'!F5,'1bzr.'!F5)-1</f>
        <v>2</v>
      </c>
      <c r="AA6" s="171" t="str">
        <f>INDEX('1bzr.'!B3:G28,MATCH(3,Z4:Z29,0),1)</f>
        <v>bieszczadzki</v>
      </c>
      <c r="AB6" s="8">
        <f>INDEX('1bzr.'!D3:H28,MATCH(3,Z4:Z29,0),3)</f>
        <v>-5.6621004566210047</v>
      </c>
      <c r="AC6" s="2"/>
      <c r="AD6" s="6">
        <f>RANK('1bzr.'!C5,'1bzr.'!$C$3:'1bzr.'!$C$28,1)+COUNTIF('1bzr.'!$C$3:'1bzr.'!C5,'1bzr.'!C5)-1</f>
        <v>9</v>
      </c>
      <c r="AE6" s="121" t="str">
        <f>INDEX('1bzr.'!B3:H28,MATCH(23,AD4:AD29,0),1)</f>
        <v>rzeszowski</v>
      </c>
      <c r="AF6" s="6">
        <f>INDEX('1bzr.'!B3:L28,MATCH(23,AD4:AD29,0),2)</f>
        <v>4600</v>
      </c>
      <c r="AH6" s="6">
        <f>RANK('1bzr.'!C5,'1bzr.'!$C$3:'1bzr.'!$C$28,1)+COUNTIF('1bzr.'!$C$3:'1bzr.'!C5,'1bzr.'!C5)-1</f>
        <v>9</v>
      </c>
      <c r="AI6" s="121" t="str">
        <f>INDEX('1bzr.'!B3:H28,MATCH(3,AH4:AH29,0),1)</f>
        <v>bieszczadzki</v>
      </c>
      <c r="AJ6" s="6">
        <f>INDEX('1bzr.'!B3:L28,MATCH(3,AH4:AH29,0),2)</f>
        <v>1033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1222</v>
      </c>
      <c r="E7" s="42">
        <f>INDEX('1bzr.'!B3:H28,MATCH(4,B4:B29,0),3)</f>
        <v>1253</v>
      </c>
      <c r="F7" s="6">
        <f>INDEX('1bzr.'!B3:H28,MATCH(4,B4:B29,0),4)</f>
        <v>-31</v>
      </c>
      <c r="G7" s="42">
        <f>INDEX('1bzr.'!B3:H28,MATCH(4,B4:B29,0),5)</f>
        <v>-2.4740622505985637</v>
      </c>
      <c r="H7" s="6">
        <f>INDEX('1bzr.'!B3:H28,MATCH(4,B4:B29,0),6)</f>
        <v>1228</v>
      </c>
      <c r="V7" s="6">
        <f>RANK('1bzr.'!E6,'1bzr.'!$E$3:'1bzr.'!$E$28,1)+COUNTIF('1bzr.'!$E$3:'1bzr.'!E6,'1bzr.'!E6)-1</f>
        <v>2</v>
      </c>
      <c r="W7" s="136" t="str">
        <f>INDEX('1bzr.'!B3:H28,MATCH(4,V4:V29,0),1)</f>
        <v>brzozowski</v>
      </c>
      <c r="X7" s="6">
        <f>INDEX('1bzr.'!E3:H28,MATCH(4,V4:V29,0),1)</f>
        <v>-154</v>
      </c>
      <c r="Y7" s="135">
        <v>3</v>
      </c>
      <c r="Z7" s="170">
        <f>RANK('1bzr.'!F6,'1bzr.'!$F$3:'1bzr.'!$F$28,1)+COUNTIF('1bzr.'!$F$3:'1bzr.'!F6,'1bzr.'!F6)-1</f>
        <v>6</v>
      </c>
      <c r="AA7" s="171" t="str">
        <f>INDEX('1bzr.'!B3:G28,MATCH(4,Z4:Z29,0),1)</f>
        <v>kolbuszowski</v>
      </c>
      <c r="AB7" s="8">
        <f>INDEX('1bzr.'!D3:H28,MATCH(4,Z4:Z29,0),3)</f>
        <v>-5.476923076923077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4438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1222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1536</v>
      </c>
      <c r="E8" s="42">
        <f>INDEX('1bzr.'!B3:H28,MATCH(5,B4:B29,0),3)</f>
        <v>1625</v>
      </c>
      <c r="F8" s="6">
        <f>INDEX('1bzr.'!B3:H28,MATCH(5,B4:B29,0),4)</f>
        <v>-89</v>
      </c>
      <c r="G8" s="42">
        <f>INDEX('1bzr.'!B3:H28,MATCH(5,B4:B29,0),5)</f>
        <v>-5.476923076923077</v>
      </c>
      <c r="H8" s="6">
        <f>INDEX('1bzr.'!B3:H28,MATCH(5,B4:B29,0),6)</f>
        <v>1525</v>
      </c>
      <c r="V8" s="6">
        <f>RANK('1bzr.'!E7,'1bzr.'!$E$3:'1bzr.'!$E$28,1)+COUNTIF('1bzr.'!$E$3:'1bzr.'!E7,'1bzr.'!E7)-1</f>
        <v>3</v>
      </c>
      <c r="W8" s="136" t="str">
        <f>INDEX('1bzr.'!B3:H28,MATCH(5,V4:V29,0),1)</f>
        <v>leżajski</v>
      </c>
      <c r="X8" s="6">
        <f>INDEX('1bzr.'!E3:H28,MATCH(5,V4:V29,0),1)</f>
        <v>-145</v>
      </c>
      <c r="Y8" s="135">
        <v>4</v>
      </c>
      <c r="Z8" s="170">
        <f>RANK('1bzr.'!F7,'1bzr.'!$F$3:'1bzr.'!$F$28,1)+COUNTIF('1bzr.'!$F$3:'1bzr.'!F7,'1bzr.'!F7)-1</f>
        <v>14</v>
      </c>
      <c r="AA8" s="171" t="str">
        <f>INDEX('1bzr.'!B3:G28,MATCH(5,Z4:Z29,0),1)</f>
        <v>leżajski</v>
      </c>
      <c r="AB8" s="8">
        <f>INDEX('1bzr.'!D3:H28,MATCH(5,Z4:Z29,0),3)</f>
        <v>-4.8172757475083063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3619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1536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lubaczowski</v>
      </c>
      <c r="D9" s="6">
        <f>INDEX('1bzr.'!B3:H28,MATCH(6,B4:B29,0),2)</f>
        <v>1603</v>
      </c>
      <c r="E9" s="42">
        <f>INDEX('1bzr.'!B3:H28,MATCH(6,B4:B29,0),3)</f>
        <v>1708</v>
      </c>
      <c r="F9" s="6">
        <f>INDEX('1bzr.'!B3:H28,MATCH(6,B4:B29,0),4)</f>
        <v>-105</v>
      </c>
      <c r="G9" s="42">
        <f>INDEX('1bzr.'!B3:H28,MATCH(6,B4:B29,0),5)</f>
        <v>-6.1475409836065573</v>
      </c>
      <c r="H9" s="6">
        <f>INDEX('1bzr.'!B3:H28,MATCH(6,B4:B29,0),6)</f>
        <v>1656</v>
      </c>
      <c r="V9" s="6">
        <f>RANK('1bzr.'!E8,'1bzr.'!$E$3:'1bzr.'!$E$28,1)+COUNTIF('1bzr.'!$E$3:'1bzr.'!E8,'1bzr.'!E8)-1</f>
        <v>12</v>
      </c>
      <c r="W9" s="136" t="str">
        <f>INDEX('1bzr.'!B3:H28,MATCH(6,V4:V29,0),1)</f>
        <v>dębicki</v>
      </c>
      <c r="X9" s="6">
        <f>INDEX('1bzr.'!E3:H28,MATCH(6,V4:V29,0),1)</f>
        <v>-142</v>
      </c>
      <c r="Y9" s="135">
        <v>5</v>
      </c>
      <c r="Z9" s="170">
        <f>RANK('1bzr.'!F8,'1bzr.'!$F$3:'1bzr.'!$F$28,1)+COUNTIF('1bzr.'!$F$3:'1bzr.'!F8,'1bzr.'!F8)-1</f>
        <v>4</v>
      </c>
      <c r="AA9" s="171" t="str">
        <f>INDEX('1bzr.'!B3:G28,MATCH(6,Z4:Z29,0),1)</f>
        <v>jarosławski</v>
      </c>
      <c r="AB9" s="8">
        <f>INDEX('1bzr.'!D3:H28,MATCH(6,Z4:Z29,0),3)</f>
        <v>-4.4152487615765672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3322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lubaczowski</v>
      </c>
      <c r="AJ9" s="6">
        <f>INDEX('1bzr.'!B3:L28,MATCH(6,AH4:AH29,0),2)</f>
        <v>1603</v>
      </c>
    </row>
    <row r="10" spans="2:36" x14ac:dyDescent="0.2">
      <c r="B10" s="6">
        <f>RANK('1bzr.'!C9,'1bzr.'!$C$3:'1bzr.'!$C$28,1)+COUNTIF('1bzr.'!$C$3:'1bzr.'!C9,'1bzr.'!C9)-1</f>
        <v>11</v>
      </c>
      <c r="C10" s="9" t="str">
        <f>INDEX('1bzr.'!B3:H28,MATCH(7,B4:B29,0),1)</f>
        <v>leski</v>
      </c>
      <c r="D10" s="6">
        <f>INDEX('1bzr.'!B3:H28,MATCH(7,B4:B29,0),2)</f>
        <v>1635</v>
      </c>
      <c r="E10" s="42">
        <f>INDEX('1bzr.'!B3:H28,MATCH(7,B4:B29,0),3)</f>
        <v>1701</v>
      </c>
      <c r="F10" s="6">
        <f>INDEX('1bzr.'!B3:H28,MATCH(7,B4:B29,0),4)</f>
        <v>-66</v>
      </c>
      <c r="G10" s="42">
        <f>INDEX('1bzr.'!B3:H28,MATCH(7,B4:B29,0),5)</f>
        <v>-3.8800705467372132</v>
      </c>
      <c r="H10" s="6">
        <f>INDEX('1bzr.'!B3:H28,MATCH(7,B4:B29,0),6)</f>
        <v>1676</v>
      </c>
      <c r="V10" s="6">
        <f>RANK('1bzr.'!E9,'1bzr.'!$E$3:'1bzr.'!$E$28,1)+COUNTIF('1bzr.'!$E$3:'1bzr.'!E9,'1bzr.'!E9)-1</f>
        <v>17</v>
      </c>
      <c r="W10" s="141" t="str">
        <f>INDEX('1bzr.'!B3:H28,MATCH(7,V4:V29,0),1)</f>
        <v>niżański</v>
      </c>
      <c r="X10" s="6">
        <f>INDEX('1bzr.'!E3:H28,MATCH(7,V4:V29,0),1)</f>
        <v>-127</v>
      </c>
      <c r="Y10" s="135">
        <v>6</v>
      </c>
      <c r="Z10" s="170">
        <f>RANK('1bzr.'!F9,'1bzr.'!$F$3:'1bzr.'!$F$28,1)+COUNTIF('1bzr.'!$F$3:'1bzr.'!F9,'1bzr.'!F9)-1</f>
        <v>18</v>
      </c>
      <c r="AA10" s="171" t="str">
        <f>INDEX('1bzr.'!B3:G28,MATCH(7,Z4:Z29,0),1)</f>
        <v>stalowowolski</v>
      </c>
      <c r="AB10" s="8">
        <f>INDEX('1bzr.'!D3:H28,MATCH(7,Z4:Z29,0),3)</f>
        <v>-4.2534722222222223</v>
      </c>
      <c r="AC10" s="2"/>
      <c r="AD10" s="6">
        <f>RANK('1bzr.'!C9,'1bzr.'!$C$3:'1bzr.'!$C$28,1)+COUNTIF('1bzr.'!$C$3:'1bzr.'!C9,'1bzr.'!C9)-1</f>
        <v>11</v>
      </c>
      <c r="AE10" s="142" t="str">
        <f>INDEX('1bzr.'!B3:H28,MATCH(19,AD4:AD29,0),1)</f>
        <v>mielecki</v>
      </c>
      <c r="AF10" s="6">
        <f>INDEX('1bzr.'!B3:L28,MATCH(19,AD4:AD29,0),2)</f>
        <v>3081</v>
      </c>
      <c r="AH10" s="6">
        <f>RANK('1bzr.'!C9,'1bzr.'!$C$3:'1bzr.'!$C$28,1)+COUNTIF('1bzr.'!$C$3:'1bzr.'!C9,'1bzr.'!C9)-1</f>
        <v>11</v>
      </c>
      <c r="AI10" s="142" t="str">
        <f>INDEX('1bzr.'!B3:H28,MATCH(7,AH4:AH29,0),1)</f>
        <v>leski</v>
      </c>
      <c r="AJ10" s="6">
        <f>INDEX('1bzr.'!B3:L28,MATCH(7,AH4:AH29,0),2)</f>
        <v>1635</v>
      </c>
    </row>
    <row r="11" spans="2:36" x14ac:dyDescent="0.2">
      <c r="B11" s="6">
        <f>RANK('1bzr.'!C10,'1bzr.'!$C$3:'1bzr.'!$C$28,1)+COUNTIF('1bzr.'!$C$3:'1bzr.'!C10,'1bzr.'!C10)-1</f>
        <v>7</v>
      </c>
      <c r="C11" s="5" t="str">
        <f>INDEX('1bzr.'!B3:H28,MATCH(8,B4:B29,0),1)</f>
        <v>stalowowolski</v>
      </c>
      <c r="D11" s="6">
        <f>INDEX('1bzr.'!B3:H28,MATCH(8,B4:B29,0),2)</f>
        <v>2206</v>
      </c>
      <c r="E11" s="42">
        <f>INDEX('1bzr.'!B3:H28,MATCH(8,B4:B29,0),3)</f>
        <v>2304</v>
      </c>
      <c r="F11" s="6">
        <f>INDEX('1bzr.'!B3:H28,MATCH(8,B4:B29,0),4)</f>
        <v>-98</v>
      </c>
      <c r="G11" s="42">
        <f>INDEX('1bzr.'!B3:H28,MATCH(8,B4:B29,0),5)</f>
        <v>-4.2534722222222223</v>
      </c>
      <c r="H11" s="6">
        <f>INDEX('1bzr.'!B3:H28,MATCH(8,B4:B29,0),6)</f>
        <v>1959</v>
      </c>
      <c r="V11" s="6">
        <f>RANK('1bzr.'!E10,'1bzr.'!$E$3:'1bzr.'!$E$28,1)+COUNTIF('1bzr.'!$E$3:'1bzr.'!E10,'1bzr.'!E10)-1</f>
        <v>19</v>
      </c>
      <c r="W11" s="136" t="str">
        <f>INDEX('1bzr.'!B3:H28,MATCH(8,V4:V29,0),1)</f>
        <v>sanocki</v>
      </c>
      <c r="X11" s="6">
        <f>INDEX('1bzr.'!E3:H28,MATCH(8,V4:V29,0),1)</f>
        <v>-110</v>
      </c>
      <c r="Y11" s="135">
        <v>7</v>
      </c>
      <c r="Z11" s="170">
        <f>RANK('1bzr.'!F10,'1bzr.'!$F$3:'1bzr.'!$F$28,1)+COUNTIF('1bzr.'!$F$3:'1bzr.'!F10,'1bzr.'!F10)-1</f>
        <v>10</v>
      </c>
      <c r="AA11" s="171" t="str">
        <f>INDEX('1bzr.'!B3:G28,MATCH(8,Z4:Z29,0),1)</f>
        <v>niżański</v>
      </c>
      <c r="AB11" s="8">
        <f>INDEX('1bzr.'!D3:H28,MATCH(8,Z4:Z29,0),3)</f>
        <v>-4.2375709042375709</v>
      </c>
      <c r="AC11" s="2"/>
      <c r="AD11" s="6">
        <f>RANK('1bzr.'!C10,'1bzr.'!$C$3:'1bzr.'!$C$28,1)+COUNTIF('1bzr.'!$C$3:'1bzr.'!C10,'1bzr.'!C10)-1</f>
        <v>7</v>
      </c>
      <c r="AE11" s="121" t="str">
        <f>INDEX('1bzr.'!B3:H28,MATCH(18,AD4:AD29,0),1)</f>
        <v>strzyżowski</v>
      </c>
      <c r="AF11" s="6">
        <f>INDEX('1bzr.'!B3:L28,MATCH(18,AD4:AD29,0),2)</f>
        <v>2996</v>
      </c>
      <c r="AH11" s="6">
        <f>RANK('1bzr.'!C10,'1bzr.'!$C$3:'1bzr.'!$C$28,1)+COUNTIF('1bzr.'!$C$3:'1bzr.'!C10,'1bzr.'!C10)-1</f>
        <v>7</v>
      </c>
      <c r="AI11" s="121" t="str">
        <f>INDEX('1bzr.'!B3:H28,MATCH(8,AH4:AH29,0),1)</f>
        <v>stalowowolski</v>
      </c>
      <c r="AJ11" s="6">
        <f>INDEX('1bzr.'!B3:L28,MATCH(8,AH4:AH29,0),2)</f>
        <v>2206</v>
      </c>
    </row>
    <row r="12" spans="2:36" x14ac:dyDescent="0.2">
      <c r="B12" s="6">
        <f>RANK('1bzr.'!C11,'1bzr.'!$C$3:'1bzr.'!$C$28,1)+COUNTIF('1bzr.'!$C$3:'1bzr.'!C11,'1bzr.'!C11)-1</f>
        <v>15</v>
      </c>
      <c r="C12" s="5" t="str">
        <f>INDEX('1bzr.'!B3:H28,MATCH(9,B4:B29,0),1)</f>
        <v>dębicki</v>
      </c>
      <c r="D12" s="6">
        <f>INDEX('1bzr.'!B3:H28,MATCH(9,B4:B29,0),2)</f>
        <v>2265</v>
      </c>
      <c r="E12" s="42">
        <f>INDEX('1bzr.'!B3:H28,MATCH(9,B4:B29,0),3)</f>
        <v>2407</v>
      </c>
      <c r="F12" s="6">
        <f>INDEX('1bzr.'!B3:H28,MATCH(9,B4:B29,0),4)</f>
        <v>-142</v>
      </c>
      <c r="G12" s="42">
        <f>INDEX('1bzr.'!B3:H28,MATCH(9,B4:B29,0),5)</f>
        <v>-5.8994599085999164</v>
      </c>
      <c r="H12" s="6">
        <f>INDEX('1bzr.'!B3:H28,MATCH(9,B4:B29,0),6)</f>
        <v>2394</v>
      </c>
      <c r="V12" s="6">
        <f>RANK('1bzr.'!E11,'1bzr.'!$E$3:'1bzr.'!$E$28,1)+COUNTIF('1bzr.'!$E$3:'1bzr.'!E11,'1bzr.'!E11)-1</f>
        <v>5</v>
      </c>
      <c r="W12" s="136" t="str">
        <f>INDEX('1bzr.'!B3:H28,MATCH(9,V4:V29,0),1)</f>
        <v>lubaczowski</v>
      </c>
      <c r="X12" s="6">
        <f>INDEX('1bzr.'!E3:H28,MATCH(9,V4:V29,0),1)</f>
        <v>-105</v>
      </c>
      <c r="Y12" s="135">
        <v>8</v>
      </c>
      <c r="Z12" s="170">
        <f>RANK('1bzr.'!F11,'1bzr.'!$F$3:'1bzr.'!$F$28,1)+COUNTIF('1bzr.'!$F$3:'1bzr.'!F11,'1bzr.'!F11)-1</f>
        <v>5</v>
      </c>
      <c r="AA12" s="171" t="str">
        <f>INDEX('1bzr.'!B3:G28,MATCH(9,Z4:Z29,0),1)</f>
        <v>brzozowski</v>
      </c>
      <c r="AB12" s="8">
        <f>INDEX('1bzr.'!D3:H28,MATCH(9,Z4:Z29,0),3)</f>
        <v>-4.0816326530612246</v>
      </c>
      <c r="AC12" s="2"/>
      <c r="AD12" s="6">
        <f>RANK('1bzr.'!C11,'1bzr.'!$C$3:'1bzr.'!$C$28,1)+COUNTIF('1bzr.'!$C$3:'1bzr.'!C11,'1bzr.'!C11)-1</f>
        <v>15</v>
      </c>
      <c r="AE12" s="121" t="str">
        <f>INDEX('1bzr.'!B3:H28,MATCH(17,AD4:AD29,0),1)</f>
        <v>sanocki</v>
      </c>
      <c r="AF12" s="6">
        <f>INDEX('1bzr.'!B3:L28,MATCH(17,AD4:AD29,0),2)</f>
        <v>2987</v>
      </c>
      <c r="AH12" s="6">
        <f>RANK('1bzr.'!C11,'1bzr.'!$C$3:'1bzr.'!$C$28,1)+COUNTIF('1bzr.'!$C$3:'1bzr.'!C11,'1bzr.'!C11)-1</f>
        <v>15</v>
      </c>
      <c r="AI12" s="121" t="str">
        <f>INDEX('1bzr.'!B3:H28,MATCH(9,AH4:AH29,0),1)</f>
        <v>dębicki</v>
      </c>
      <c r="AJ12" s="6">
        <f>INDEX('1bzr.'!B3:L28,MATCH(9,AH4:AH29,0),2)</f>
        <v>2265</v>
      </c>
    </row>
    <row r="13" spans="2:36" x14ac:dyDescent="0.2">
      <c r="B13" s="6">
        <f>RANK('1bzr.'!C12,'1bzr.'!$C$3:'1bzr.'!$C$28,1)+COUNTIF('1bzr.'!$C$3:'1bzr.'!C12,'1bzr.'!C12)-1</f>
        <v>6</v>
      </c>
      <c r="C13" s="5" t="str">
        <f>INDEX('1bzr.'!B3:H28,MATCH(10,B4:B29,0),1)</f>
        <v>Przemyśl</v>
      </c>
      <c r="D13" s="6">
        <f>INDEX('1bzr.'!B3:H28,MATCH(10,B4:B29,0),2)</f>
        <v>2319</v>
      </c>
      <c r="E13" s="42">
        <f>INDEX('1bzr.'!B3:H28,MATCH(10,B4:B29,0),3)</f>
        <v>2355</v>
      </c>
      <c r="F13" s="6">
        <f>INDEX('1bzr.'!B3:H28,MATCH(10,B4:B29,0),4)</f>
        <v>-36</v>
      </c>
      <c r="G13" s="42">
        <f>INDEX('1bzr.'!B3:H28,MATCH(10,B4:B29,0),5)</f>
        <v>-1.5286624203821657</v>
      </c>
      <c r="H13" s="6">
        <f>INDEX('1bzr.'!B3:H28,MATCH(10,B4:B29,0),6)</f>
        <v>2314</v>
      </c>
      <c r="V13" s="6">
        <f>RANK('1bzr.'!E12,'1bzr.'!$E$3:'1bzr.'!$E$28,1)+COUNTIF('1bzr.'!$E$3:'1bzr.'!E12,'1bzr.'!E12)-1</f>
        <v>9</v>
      </c>
      <c r="W13" s="136" t="str">
        <f>INDEX('1bzr.'!B3:H28,MATCH(10,V4:V29,0),1)</f>
        <v>strzyżowski</v>
      </c>
      <c r="X13" s="6">
        <f>INDEX('1bzr.'!E3:H28,MATCH(10,V4:V29,0),1)</f>
        <v>-105</v>
      </c>
      <c r="Y13" s="135">
        <v>9</v>
      </c>
      <c r="Z13" s="170">
        <f>RANK('1bzr.'!F12,'1bzr.'!$F$3:'1bzr.'!$F$28,1)+COUNTIF('1bzr.'!$F$3:'1bzr.'!F12,'1bzr.'!F12)-1</f>
        <v>1</v>
      </c>
      <c r="AA13" s="171" t="str">
        <f>INDEX('1bzr.'!B3:G28,MATCH(10,Z4:Z29,0),1)</f>
        <v>leski</v>
      </c>
      <c r="AB13" s="8">
        <f>INDEX('1bzr.'!D3:H28,MATCH(10,Z4:Z29,0),3)</f>
        <v>-3.8800705467372132</v>
      </c>
      <c r="AC13" s="117"/>
      <c r="AD13" s="6">
        <f>RANK('1bzr.'!C12,'1bzr.'!$C$3:'1bzr.'!$C$28,1)+COUNTIF('1bzr.'!$C$3:'1bzr.'!C12,'1bzr.'!C12)-1</f>
        <v>6</v>
      </c>
      <c r="AE13" s="121" t="str">
        <f>INDEX('1bzr.'!B3:H28,MATCH(16,AD4:AD29,0),1)</f>
        <v>niżański</v>
      </c>
      <c r="AF13" s="6">
        <f>INDEX('1bzr.'!B3:L28,MATCH(16,AD4:AD29,0),2)</f>
        <v>2870</v>
      </c>
      <c r="AH13" s="6">
        <f>RANK('1bzr.'!C12,'1bzr.'!$C$3:'1bzr.'!$C$28,1)+COUNTIF('1bzr.'!$C$3:'1bzr.'!C12,'1bzr.'!C12)-1</f>
        <v>6</v>
      </c>
      <c r="AI13" s="121" t="str">
        <f>INDEX('1bzr.'!B3:H28,MATCH(10,AH4:AH29,0),1)</f>
        <v>Przemyśl</v>
      </c>
      <c r="AJ13" s="6">
        <f>INDEX('1bzr.'!B3:L28,MATCH(10,AH4:AH29,0),2)</f>
        <v>2319</v>
      </c>
    </row>
    <row r="14" spans="2:36" x14ac:dyDescent="0.2">
      <c r="B14" s="6">
        <f>RANK('1bzr.'!C13,'1bzr.'!$C$3:'1bzr.'!$C$28,1)+COUNTIF('1bzr.'!$C$3:'1bzr.'!C13,'1bzr.'!C13)-1</f>
        <v>12</v>
      </c>
      <c r="C14" s="5" t="str">
        <f>INDEX('1bzr.'!B3:H28,MATCH(11,B4:B29,0),1)</f>
        <v>krośnieński</v>
      </c>
      <c r="D14" s="6">
        <f>INDEX('1bzr.'!B3:H28,MATCH(11,B4:B29,0),2)</f>
        <v>2409</v>
      </c>
      <c r="E14" s="42">
        <f>INDEX('1bzr.'!B3:H28,MATCH(11,B4:B29,0),3)</f>
        <v>2479</v>
      </c>
      <c r="F14" s="6">
        <f>INDEX('1bzr.'!B3:H28,MATCH(11,B4:B29,0),4)</f>
        <v>-70</v>
      </c>
      <c r="G14" s="42">
        <f>INDEX('1bzr.'!B3:H28,MATCH(11,B4:B29,0),5)</f>
        <v>-2.8237192416296892</v>
      </c>
      <c r="H14" s="6">
        <f>INDEX('1bzr.'!B3:H28,MATCH(11,B4:B29,0),6)</f>
        <v>2316</v>
      </c>
      <c r="V14" s="6">
        <f>RANK('1bzr.'!E13,'1bzr.'!$E$3:'1bzr.'!$E$28,1)+COUNTIF('1bzr.'!$E$3:'1bzr.'!E13,'1bzr.'!E13)-1</f>
        <v>14</v>
      </c>
      <c r="W14" s="136" t="str">
        <f>INDEX('1bzr.'!B3:H28,MATCH(11,V4:V29,0),1)</f>
        <v>stalowowolski</v>
      </c>
      <c r="X14" s="6">
        <f>INDEX('1bzr.'!E3:H28,MATCH(11,V4:V29,0),1)</f>
        <v>-98</v>
      </c>
      <c r="Y14" s="135">
        <v>10</v>
      </c>
      <c r="Z14" s="170">
        <f>RANK('1bzr.'!F13,'1bzr.'!$F$3:'1bzr.'!$F$28,1)+COUNTIF('1bzr.'!$F$3:'1bzr.'!F13,'1bzr.'!F13)-1</f>
        <v>15</v>
      </c>
      <c r="AA14" s="171" t="str">
        <f>INDEX('1bzr.'!B3:G28,MATCH(11,Z4:Z29,0),1)</f>
        <v>sanocki</v>
      </c>
      <c r="AB14" s="8">
        <f>INDEX('1bzr.'!D3:H28,MATCH(11,Z4:Z29,0),3)</f>
        <v>-3.5518243461414274</v>
      </c>
      <c r="AC14" s="2"/>
      <c r="AD14" s="6">
        <f>RANK('1bzr.'!C13,'1bzr.'!$C$3:'1bzr.'!$C$28,1)+COUNTIF('1bzr.'!$C$3:'1bzr.'!C13,'1bzr.'!C13)-1</f>
        <v>12</v>
      </c>
      <c r="AE14" s="121" t="str">
        <f>INDEX('1bzr.'!B3:H28,MATCH(15,AD4:AD29,0),1)</f>
        <v>leżajski</v>
      </c>
      <c r="AF14" s="6">
        <f>INDEX('1bzr.'!B3:L28,MATCH(15,AD4:AD29,0),2)</f>
        <v>2865</v>
      </c>
      <c r="AH14" s="6">
        <f>RANK('1bzr.'!C13,'1bzr.'!$C$3:'1bzr.'!$C$28,1)+COUNTIF('1bzr.'!$C$3:'1bzr.'!C13,'1bzr.'!C13)-1</f>
        <v>12</v>
      </c>
      <c r="AI14" s="121" t="str">
        <f>INDEX('1bzr.'!B3:H28,MATCH(11,AH4:AH29,0),1)</f>
        <v>krośnieński</v>
      </c>
      <c r="AJ14" s="6">
        <f>INDEX('1bzr.'!B3:L28,MATCH(11,AH4:AH29,0),2)</f>
        <v>2409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łańcucki</v>
      </c>
      <c r="D15" s="6">
        <f>INDEX('1bzr.'!B3:H28,MATCH(12,B4:B29,0),2)</f>
        <v>2469</v>
      </c>
      <c r="E15" s="42">
        <f>INDEX('1bzr.'!B3:H28,MATCH(12,B4:B29,0),3)</f>
        <v>2552</v>
      </c>
      <c r="F15" s="6">
        <f>INDEX('1bzr.'!B3:H28,MATCH(12,B4:B29,0),4)</f>
        <v>-83</v>
      </c>
      <c r="G15" s="42">
        <f>INDEX('1bzr.'!B3:H28,MATCH(12,B4:B29,0),5)</f>
        <v>-3.2523510971786838</v>
      </c>
      <c r="H15" s="6">
        <f>INDEX('1bzr.'!B3:H28,MATCH(12,B4:B29,0),6)</f>
        <v>2501</v>
      </c>
      <c r="V15" s="6">
        <f>RANK('1bzr.'!E14,'1bzr.'!$E$3:'1bzr.'!$E$28,1)+COUNTIF('1bzr.'!$E$3:'1bzr.'!E14,'1bzr.'!E14)-1</f>
        <v>13</v>
      </c>
      <c r="W15" s="136" t="str">
        <f>INDEX('1bzr.'!B3:H28,MATCH(12,V4:V29,0),1)</f>
        <v>kolbuszowski</v>
      </c>
      <c r="X15" s="6">
        <f>INDEX('1bzr.'!E3:H28,MATCH(12,V4:V29,0),1)</f>
        <v>-89</v>
      </c>
      <c r="Y15" s="135">
        <v>11</v>
      </c>
      <c r="Z15" s="170">
        <f>RANK('1bzr.'!F14,'1bzr.'!$F$3:'1bzr.'!$F$28,1)+COUNTIF('1bzr.'!$F$3:'1bzr.'!F14,'1bzr.'!F14)-1</f>
        <v>19</v>
      </c>
      <c r="AA15" s="171" t="str">
        <f>INDEX('1bzr.'!B3:G28,MATCH(12,Z4:Z29,0),1)</f>
        <v>strzyżowski</v>
      </c>
      <c r="AB15" s="8">
        <f>INDEX('1bzr.'!D3:H28,MATCH(12,Z4:Z29,0),3)</f>
        <v>-3.3860045146726865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przemyski</v>
      </c>
      <c r="AF15" s="6">
        <f>INDEX('1bzr.'!B3:L28,MATCH(14,AD4:AD29,0),2)</f>
        <v>2855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łańcucki</v>
      </c>
      <c r="AJ15" s="6">
        <f>INDEX('1bzr.'!B3:L28,MATCH(12,AH4:AH29,0),2)</f>
        <v>2469</v>
      </c>
    </row>
    <row r="16" spans="2:36" x14ac:dyDescent="0.2">
      <c r="B16" s="6">
        <f>RANK('1bzr.'!C15,'1bzr.'!$C$3:'1bzr.'!$C$28,1)+COUNTIF('1bzr.'!$C$3:'1bzr.'!C15,'1bzr.'!C15)-1</f>
        <v>16</v>
      </c>
      <c r="C16" s="5" t="str">
        <f>INDEX('1bzr.'!B3:H28,MATCH(13,B4:B29,0),1)</f>
        <v>ropczycko-sędziszowski</v>
      </c>
      <c r="D16" s="6">
        <f>INDEX('1bzr.'!B3:H28,MATCH(13,B4:B29,0),2)</f>
        <v>2661</v>
      </c>
      <c r="E16" s="42">
        <f>INDEX('1bzr.'!B3:H28,MATCH(13,B4:B29,0),3)</f>
        <v>2741</v>
      </c>
      <c r="F16" s="6">
        <f>INDEX('1bzr.'!B3:H28,MATCH(13,B4:B29,0),4)</f>
        <v>-80</v>
      </c>
      <c r="G16" s="42">
        <f>INDEX('1bzr.'!B3:H28,MATCH(13,B4:B29,0),5)</f>
        <v>-2.9186428310835462</v>
      </c>
      <c r="H16" s="6">
        <f>INDEX('1bzr.'!B3:H28,MATCH(13,B4:B29,0),6)</f>
        <v>2695</v>
      </c>
      <c r="V16" s="6">
        <f>RANK('1bzr.'!E15,'1bzr.'!$E$3:'1bzr.'!$E$28,1)+COUNTIF('1bzr.'!$E$3:'1bzr.'!E15,'1bzr.'!E15)-1</f>
        <v>7</v>
      </c>
      <c r="W16" s="136" t="str">
        <f>INDEX('1bzr.'!B3:H28,MATCH(13,V4:V29,0),1)</f>
        <v>mielecki</v>
      </c>
      <c r="X16" s="6">
        <f>INDEX('1bzr.'!E3:H28,MATCH(13,V4:V29,0),1)</f>
        <v>-85</v>
      </c>
      <c r="Y16" s="135">
        <v>12</v>
      </c>
      <c r="Z16" s="170">
        <f>RANK('1bzr.'!F15,'1bzr.'!$F$3:'1bzr.'!$F$28,1)+COUNTIF('1bzr.'!$F$3:'1bzr.'!F15,'1bzr.'!F15)-1</f>
        <v>8</v>
      </c>
      <c r="AA16" s="171" t="str">
        <f>INDEX('1bzr.'!B3:G28,MATCH(13,Z4:Z29,0),1)</f>
        <v>Tarnobrzeg</v>
      </c>
      <c r="AB16" s="8">
        <f>INDEX('1bzr.'!D3:H28,MATCH(13,Z4:Z29,0),3)</f>
        <v>-3.3396946564885495</v>
      </c>
      <c r="AC16" s="2"/>
      <c r="AD16" s="6">
        <f>RANK('1bzr.'!C15,'1bzr.'!$C$3:'1bzr.'!$C$28,1)+COUNTIF('1bzr.'!$C$3:'1bzr.'!C15,'1bzr.'!C15)-1</f>
        <v>16</v>
      </c>
      <c r="AE16" s="121" t="str">
        <f>INDEX('1bzr.'!B3:H28,MATCH(13,AD4:AD29,0),1)</f>
        <v>ropczycko-sędziszowski</v>
      </c>
      <c r="AF16" s="6">
        <f>INDEX('1bzr.'!B3:L28,MATCH(13,AD4:AD29,0),2)</f>
        <v>2661</v>
      </c>
      <c r="AH16" s="6">
        <f>RANK('1bzr.'!C15,'1bzr.'!$C$3:'1bzr.'!$C$28,1)+COUNTIF('1bzr.'!$C$3:'1bzr.'!C15,'1bzr.'!C15)-1</f>
        <v>16</v>
      </c>
      <c r="AI16" s="121" t="str">
        <f>INDEX('1bzr.'!B3:H28,MATCH(13,AH4:AH29,0),1)</f>
        <v>ropczycko-sędziszowski</v>
      </c>
      <c r="AJ16" s="6">
        <f>INDEX('1bzr.'!B3:L28,MATCH(13,AH4:AH29,0),2)</f>
        <v>2661</v>
      </c>
    </row>
    <row r="17" spans="2:36" x14ac:dyDescent="0.2">
      <c r="B17" s="6">
        <f>RANK('1bzr.'!C16,'1bzr.'!$C$3:'1bzr.'!$C$28,1)+COUNTIF('1bzr.'!$C$3:'1bzr.'!C16,'1bzr.'!C16)-1</f>
        <v>14</v>
      </c>
      <c r="C17" s="5" t="str">
        <f>INDEX('1bzr.'!B3:H28,MATCH(14,B4:B29,0),1)</f>
        <v>przemyski</v>
      </c>
      <c r="D17" s="6">
        <f>INDEX('1bzr.'!B3:H28,MATCH(14,B4:B29,0),2)</f>
        <v>2855</v>
      </c>
      <c r="E17" s="42">
        <f>INDEX('1bzr.'!B3:H28,MATCH(14,B4:B29,0),3)</f>
        <v>2930</v>
      </c>
      <c r="F17" s="6">
        <f>INDEX('1bzr.'!B3:H28,MATCH(14,B4:B29,0),4)</f>
        <v>-75</v>
      </c>
      <c r="G17" s="42">
        <f>INDEX('1bzr.'!B3:H28,MATCH(14,B4:B29,0),5)</f>
        <v>-2.5597269624573378</v>
      </c>
      <c r="H17" s="6">
        <f>INDEX('1bzr.'!B3:H28,MATCH(14,B4:B29,0),6)</f>
        <v>2792</v>
      </c>
      <c r="V17" s="6">
        <f>RANK('1bzr.'!E16,'1bzr.'!$E$3:'1bzr.'!$E$28,1)+COUNTIF('1bzr.'!$E$3:'1bzr.'!E16,'1bzr.'!E16)-1</f>
        <v>16</v>
      </c>
      <c r="W17" s="136" t="str">
        <f>INDEX('1bzr.'!B3:H28,MATCH(14,V4:V29,0),1)</f>
        <v>łańcucki</v>
      </c>
      <c r="X17" s="6">
        <f>INDEX('1bzr.'!E3:H28,MATCH(14,V4:V29,0),1)</f>
        <v>-83</v>
      </c>
      <c r="Y17" s="135">
        <v>13</v>
      </c>
      <c r="Z17" s="170">
        <f>RANK('1bzr.'!F16,'1bzr.'!$F$3:'1bzr.'!$F$28,1)+COUNTIF('1bzr.'!$F$3:'1bzr.'!F16,'1bzr.'!F16)-1</f>
        <v>20</v>
      </c>
      <c r="AA17" s="171" t="str">
        <f>INDEX('1bzr.'!B3:G28,MATCH(14,Z4:Z29,0),1)</f>
        <v>jasielski</v>
      </c>
      <c r="AB17" s="8">
        <f>INDEX('1bzr.'!D3:H28,MATCH(14,Z4:Z29,0),3)</f>
        <v>-3.2626100880704563</v>
      </c>
      <c r="AC17" s="2"/>
      <c r="AD17" s="6">
        <f>RANK('1bzr.'!C16,'1bzr.'!$C$3:'1bzr.'!$C$28,1)+COUNTIF('1bzr.'!$C$3:'1bzr.'!C16,'1bzr.'!C16)-1</f>
        <v>14</v>
      </c>
      <c r="AE17" s="121" t="str">
        <f>INDEX('1bzr.'!B3:H28,MATCH(12,AD4:AD29,0),1)</f>
        <v>łańcucki</v>
      </c>
      <c r="AF17" s="6">
        <f>INDEX('1bzr.'!B3:L28,MATCH(12,AD4:AD29,0),2)</f>
        <v>2469</v>
      </c>
      <c r="AH17" s="6">
        <f>RANK('1bzr.'!C16,'1bzr.'!$C$3:'1bzr.'!$C$28,1)+COUNTIF('1bzr.'!$C$3:'1bzr.'!C16,'1bzr.'!C16)-1</f>
        <v>14</v>
      </c>
      <c r="AI17" s="121" t="str">
        <f>INDEX('1bzr.'!B3:H28,MATCH(14,AH4:AH29,0),1)</f>
        <v>przemyski</v>
      </c>
      <c r="AJ17" s="6">
        <f>INDEX('1bzr.'!B3:L28,MATCH(14,AH4:AH29,0),2)</f>
        <v>2855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leżajski</v>
      </c>
      <c r="D18" s="6">
        <f>INDEX('1bzr.'!B3:H28,MATCH(15,B4:B29,0),2)</f>
        <v>2865</v>
      </c>
      <c r="E18" s="42">
        <f>INDEX('1bzr.'!B3:H28,MATCH(15,B4:B29,0),3)</f>
        <v>3010</v>
      </c>
      <c r="F18" s="6">
        <f>INDEX('1bzr.'!B3:H28,MATCH(15,B4:B29,0),4)</f>
        <v>-145</v>
      </c>
      <c r="G18" s="42">
        <f>INDEX('1bzr.'!B3:H28,MATCH(15,B4:B29,0),5)</f>
        <v>-4.8172757475083063</v>
      </c>
      <c r="H18" s="6">
        <f>INDEX('1bzr.'!B3:H28,MATCH(15,B4:B29,0),6)</f>
        <v>3042</v>
      </c>
      <c r="V18" s="6">
        <f>RANK('1bzr.'!E17,'1bzr.'!$E$3:'1bzr.'!$E$28,1)+COUNTIF('1bzr.'!$E$3:'1bzr.'!E17,'1bzr.'!E17)-1</f>
        <v>18</v>
      </c>
      <c r="W18" s="136" t="str">
        <f>INDEX('1bzr.'!B3:H28,MATCH(15,V4:V29,0),1)</f>
        <v>ropczycko-sędziszowski</v>
      </c>
      <c r="X18" s="6">
        <f>INDEX('1bzr.'!E3:H28,MATCH(15,V4:V29,0),1)</f>
        <v>-80</v>
      </c>
      <c r="Y18" s="135">
        <v>14</v>
      </c>
      <c r="Z18" s="170">
        <f>RANK('1bzr.'!F17,'1bzr.'!$F$3:'1bzr.'!$F$28,1)+COUNTIF('1bzr.'!$F$3:'1bzr.'!F17,'1bzr.'!F17)-1</f>
        <v>23</v>
      </c>
      <c r="AA18" s="171" t="str">
        <f>INDEX('1bzr.'!B3:G28,MATCH(15,Z4:Z29,0),1)</f>
        <v>łańcucki</v>
      </c>
      <c r="AB18" s="8">
        <f>INDEX('1bzr.'!D3:H28,MATCH(15,Z4:Z29,0),3)</f>
        <v>-3.2523510971786838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krośnieński</v>
      </c>
      <c r="AF18" s="6">
        <f>INDEX('1bzr.'!B3:L28,MATCH(11,AD4:AD29,0),2)</f>
        <v>2409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leżajski</v>
      </c>
      <c r="AJ18" s="6">
        <f>INDEX('1bzr.'!B3:L28,MATCH(15,AH4:AH29,0),2)</f>
        <v>2865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niżański</v>
      </c>
      <c r="D19" s="6">
        <f>INDEX('1bzr.'!B3:H28,MATCH(16,B4:B29,0),2)</f>
        <v>2870</v>
      </c>
      <c r="E19" s="42">
        <f>INDEX('1bzr.'!B3:H28,MATCH(16,B4:B29,0),3)</f>
        <v>2997</v>
      </c>
      <c r="F19" s="6">
        <f>INDEX('1bzr.'!B3:H28,MATCH(16,B4:B29,0),4)</f>
        <v>-127</v>
      </c>
      <c r="G19" s="42">
        <f>INDEX('1bzr.'!B3:H28,MATCH(16,B4:B29,0),5)</f>
        <v>-4.2375709042375709</v>
      </c>
      <c r="H19" s="6">
        <f>INDEX('1bzr.'!B3:H28,MATCH(16,B4:B29,0),6)</f>
        <v>2937</v>
      </c>
      <c r="V19" s="6">
        <f>RANK('1bzr.'!E18,'1bzr.'!$E$3:'1bzr.'!$E$28,1)+COUNTIF('1bzr.'!$E$3:'1bzr.'!E18,'1bzr.'!E18)-1</f>
        <v>15</v>
      </c>
      <c r="W19" s="136" t="str">
        <f>INDEX('1bzr.'!B3:H28,MATCH(16,V4:V29,0),1)</f>
        <v>przemyski</v>
      </c>
      <c r="X19" s="6">
        <f>INDEX('1bzr.'!E3:H28,MATCH(16,V4:V29,0),1)</f>
        <v>-75</v>
      </c>
      <c r="Y19" s="135">
        <v>15</v>
      </c>
      <c r="Z19" s="170">
        <f>RANK('1bzr.'!F18,'1bzr.'!$F$3:'1bzr.'!$F$28,1)+COUNTIF('1bzr.'!$F$3:'1bzr.'!F18,'1bzr.'!F18)-1</f>
        <v>17</v>
      </c>
      <c r="AA19" s="171" t="str">
        <f>INDEX('1bzr.'!B3:G28,MATCH(16,Z4:Z29,0),1)</f>
        <v>województwo</v>
      </c>
      <c r="AB19" s="8">
        <f>INDEX('1bzr.'!D3:H28,MATCH(16,Z4:Z29,0),3)</f>
        <v>-3.2202923324303572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Przemyśl</v>
      </c>
      <c r="AF19" s="6">
        <f>INDEX('1bzr.'!B3:L28,MATCH(10,AD4:AD29,0),2)</f>
        <v>2319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niżański</v>
      </c>
      <c r="AJ19" s="6">
        <f>INDEX('1bzr.'!B3:L28,MATCH(16,AH4:AH29,0),2)</f>
        <v>2870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2987</v>
      </c>
      <c r="E20" s="42">
        <f>INDEX('1bzr.'!B3:H28,MATCH(17,B4:B29,0),3)</f>
        <v>3097</v>
      </c>
      <c r="F20" s="6">
        <f>INDEX('1bzr.'!B3:H28,MATCH(17,B4:B29,0),4)</f>
        <v>-110</v>
      </c>
      <c r="G20" s="42">
        <f>INDEX('1bzr.'!B3:H28,MATCH(17,B4:B29,0),5)</f>
        <v>-3.5518243461414274</v>
      </c>
      <c r="H20" s="6">
        <f>INDEX('1bzr.'!B3:H28,MATCH(17,B4:B29,0),6)</f>
        <v>2728</v>
      </c>
      <c r="V20" s="6">
        <f>RANK('1bzr.'!E19,'1bzr.'!$E$3:'1bzr.'!$E$28,1)+COUNTIF('1bzr.'!$E$3:'1bzr.'!E19,'1bzr.'!E19)-1</f>
        <v>21</v>
      </c>
      <c r="W20" s="136" t="str">
        <f>INDEX('1bzr.'!B3:H28,MATCH(17,V4:V29,0),1)</f>
        <v>krośnieński</v>
      </c>
      <c r="X20" s="6">
        <f>INDEX('1bzr.'!E3:H28,MATCH(17,V4:V29,0),1)</f>
        <v>-70</v>
      </c>
      <c r="Y20" s="135">
        <v>16</v>
      </c>
      <c r="Z20" s="170">
        <f>RANK('1bzr.'!F19,'1bzr.'!$F$3:'1bzr.'!$F$28,1)+COUNTIF('1bzr.'!$F$3:'1bzr.'!F19,'1bzr.'!F19)-1</f>
        <v>25</v>
      </c>
      <c r="AA20" s="171" t="str">
        <f>INDEX('1bzr.'!B3:G28,MATCH(17,Z4:Z29,0),1)</f>
        <v>ropczycko-sędziszowski</v>
      </c>
      <c r="AB20" s="8">
        <f>INDEX('1bzr.'!D3:H28,MATCH(17,Z4:Z29,0),3)</f>
        <v>-2.9186428310835462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dębicki</v>
      </c>
      <c r="AF20" s="6">
        <f>INDEX('1bzr.'!B3:L28,MATCH(9,AD4:AD29,0),2)</f>
        <v>2265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2987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2996</v>
      </c>
      <c r="E21" s="42">
        <f>INDEX('1bzr.'!B3:H28,MATCH(18,B4:B29,0),3)</f>
        <v>3101</v>
      </c>
      <c r="F21" s="6">
        <f>INDEX('1bzr.'!B3:H28,MATCH(18,B4:B29,0),4)</f>
        <v>-105</v>
      </c>
      <c r="G21" s="42">
        <f>INDEX('1bzr.'!B3:H28,MATCH(18,B4:B29,0),5)</f>
        <v>-3.3860045146726865</v>
      </c>
      <c r="H21" s="6">
        <f>INDEX('1bzr.'!B3:H28,MATCH(18,B4:B29,0),6)</f>
        <v>3059</v>
      </c>
      <c r="V21" s="6">
        <f>RANK('1bzr.'!E20,'1bzr.'!$E$3:'1bzr.'!$E$28,1)+COUNTIF('1bzr.'!$E$3:'1bzr.'!E20,'1bzr.'!E20)-1</f>
        <v>8</v>
      </c>
      <c r="W21" s="136" t="str">
        <f>INDEX('1bzr.'!B3:H28,MATCH(18,V4:V29,0),1)</f>
        <v>przeworski</v>
      </c>
      <c r="X21" s="6">
        <f>INDEX('1bzr.'!E3:H28,MATCH(18,V4:V29,0),1)</f>
        <v>-69</v>
      </c>
      <c r="Y21" s="135">
        <v>17</v>
      </c>
      <c r="Z21" s="170">
        <f>RANK('1bzr.'!F20,'1bzr.'!$F$3:'1bzr.'!$F$28,1)+COUNTIF('1bzr.'!$F$3:'1bzr.'!F20,'1bzr.'!F20)-1</f>
        <v>11</v>
      </c>
      <c r="AA21" s="171" t="str">
        <f>INDEX('1bzr.'!B3:G28,MATCH(18,Z4:Z29,0),1)</f>
        <v>krośnieński</v>
      </c>
      <c r="AB21" s="8">
        <f>INDEX('1bzr.'!D3:H28,MATCH(18,Z4:Z29,0),3)</f>
        <v>-2.8237192416296892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2206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2996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3081</v>
      </c>
      <c r="E22" s="42">
        <f>INDEX('1bzr.'!B3:H28,MATCH(19,B4:B29,0),3)</f>
        <v>3166</v>
      </c>
      <c r="F22" s="6">
        <f>INDEX('1bzr.'!B3:H28,MATCH(19,B4:B29,0),4)</f>
        <v>-85</v>
      </c>
      <c r="G22" s="42">
        <f>INDEX('1bzr.'!B3:H28,MATCH(19,B4:B29,0),5)</f>
        <v>-2.6847757422615288</v>
      </c>
      <c r="H22" s="6">
        <f>INDEX('1bzr.'!B3:H28,MATCH(19,B4:B29,0),6)</f>
        <v>2872</v>
      </c>
      <c r="V22" s="6">
        <f>RANK('1bzr.'!E21,'1bzr.'!$E$3:'1bzr.'!$E$28,1)+COUNTIF('1bzr.'!$E$3:'1bzr.'!E21,'1bzr.'!E21)-1</f>
        <v>11</v>
      </c>
      <c r="W22" s="136" t="str">
        <f>INDEX('1bzr.'!B3:H28,MATCH(19,V4:V29,0),1)</f>
        <v>leski</v>
      </c>
      <c r="X22" s="6">
        <f>INDEX('1bzr.'!E3:H28,MATCH(19,V4:V29,0),1)</f>
        <v>-66</v>
      </c>
      <c r="Y22" s="135">
        <v>18</v>
      </c>
      <c r="Z22" s="170">
        <f>RANK('1bzr.'!F21,'1bzr.'!$F$3:'1bzr.'!$F$28,1)+COUNTIF('1bzr.'!$F$3:'1bzr.'!F21,'1bzr.'!F21)-1</f>
        <v>7</v>
      </c>
      <c r="AA22" s="171" t="str">
        <f>INDEX('1bzr.'!B3:G28,MATCH(19,Z4:Z29,0),1)</f>
        <v>mielecki</v>
      </c>
      <c r="AB22" s="8">
        <f>INDEX('1bzr.'!D3:H28,MATCH(19,Z4:Z29,0),3)</f>
        <v>-2.6847757422615288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leski</v>
      </c>
      <c r="AF22" s="6">
        <f>INDEX('1bzr.'!B3:L28,MATCH(7,AD4:AD29,0),2)</f>
        <v>1635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3081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3322</v>
      </c>
      <c r="E23" s="42">
        <f>INDEX('1bzr.'!B3:H28,MATCH(20,B4:B29,0),3)</f>
        <v>3391</v>
      </c>
      <c r="F23" s="6">
        <f>INDEX('1bzr.'!B3:H28,MATCH(20,B4:B29,0),4)</f>
        <v>-69</v>
      </c>
      <c r="G23" s="42">
        <f>INDEX('1bzr.'!B3:H28,MATCH(20,B4:B29,0),5)</f>
        <v>-2.0347979946918313</v>
      </c>
      <c r="H23" s="6">
        <f>INDEX('1bzr.'!B3:H28,MATCH(20,B4:B29,0),6)</f>
        <v>3160</v>
      </c>
      <c r="V23" s="6">
        <f>RANK('1bzr.'!E22,'1bzr.'!$E$3:'1bzr.'!$E$28,1)+COUNTIF('1bzr.'!$E$3:'1bzr.'!E22,'1bzr.'!E22)-1</f>
        <v>10</v>
      </c>
      <c r="W23" s="136" t="str">
        <f>INDEX('1bzr.'!B3:H28,MATCH(20,V4:V29,0),1)</f>
        <v>bieszczadzki</v>
      </c>
      <c r="X23" s="6">
        <f>INDEX('1bzr.'!E3:H28,MATCH(20,V4:V29,0),1)</f>
        <v>-62</v>
      </c>
      <c r="Y23" s="135">
        <v>19</v>
      </c>
      <c r="Z23" s="170">
        <f>RANK('1bzr.'!F22,'1bzr.'!$F$3:'1bzr.'!$F$28,1)+COUNTIF('1bzr.'!$F$3:'1bzr.'!F22,'1bzr.'!F22)-1</f>
        <v>12</v>
      </c>
      <c r="AA23" s="171" t="str">
        <f>INDEX('1bzr.'!B3:G28,MATCH(20,Z4:Z29,0),1)</f>
        <v>przemyski</v>
      </c>
      <c r="AB23" s="8">
        <f>INDEX('1bzr.'!D3:H28,MATCH(20,Z4:Z29,0),3)</f>
        <v>-2.5597269624573378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lubaczowski</v>
      </c>
      <c r="AF23" s="6">
        <f>INDEX('1bzr.'!B3:L28,MATCH(6,AD4:AD29,0),2)</f>
        <v>1603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3322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3619</v>
      </c>
      <c r="E24" s="42">
        <f>INDEX('1bzr.'!B3:H28,MATCH(21,B4:B29,0),3)</f>
        <v>3773</v>
      </c>
      <c r="F24" s="6">
        <f>INDEX('1bzr.'!B3:H28,MATCH(21,B4:B29,0),4)</f>
        <v>-154</v>
      </c>
      <c r="G24" s="42">
        <f>INDEX('1bzr.'!B3:H28,MATCH(21,B4:B29,0),5)</f>
        <v>-4.0816326530612246</v>
      </c>
      <c r="H24" s="6">
        <f>INDEX('1bzr.'!B3:H28,MATCH(21,B4:B29,0),6)</f>
        <v>3585</v>
      </c>
      <c r="V24" s="6">
        <f>RANK('1bzr.'!E23,'1bzr.'!$E$3:'1bzr.'!$E$28,1)+COUNTIF('1bzr.'!$E$3:'1bzr.'!E23,'1bzr.'!E23)-1</f>
        <v>24</v>
      </c>
      <c r="W24" s="136" t="str">
        <f>INDEX('1bzr.'!B3:H28,MATCH(21,V4:V29,0),1)</f>
        <v>rzeszowski</v>
      </c>
      <c r="X24" s="6">
        <f>INDEX('1bzr.'!E3:H28,MATCH(21,V4:V29,0),1)</f>
        <v>-50</v>
      </c>
      <c r="Y24" s="135">
        <v>20</v>
      </c>
      <c r="Z24" s="170">
        <f>RANK('1bzr.'!F23,'1bzr.'!$F$3:'1bzr.'!$F$28,1)+COUNTIF('1bzr.'!$F$3:'1bzr.'!F23,'1bzr.'!F23)-1</f>
        <v>21</v>
      </c>
      <c r="AA24" s="171" t="str">
        <f>INDEX('1bzr.'!B3:G28,MATCH(21,Z4:Z29,0),1)</f>
        <v xml:space="preserve">tarnobrzeski </v>
      </c>
      <c r="AB24" s="8">
        <f>INDEX('1bzr.'!D3:H28,MATCH(21,Z4:Z29,0),3)</f>
        <v>-2.4740622505985637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1536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3619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4438</v>
      </c>
      <c r="E25" s="42">
        <f>INDEX('1bzr.'!B3:H28,MATCH(22,B4:B29,0),3)</f>
        <v>4643</v>
      </c>
      <c r="F25" s="6">
        <f>INDEX('1bzr.'!B3:H28,MATCH(22,B4:B29,0),4)</f>
        <v>-205</v>
      </c>
      <c r="G25" s="42">
        <f>INDEX('1bzr.'!B3:H28,MATCH(22,B4:B29,0),5)</f>
        <v>-4.4152487615765672</v>
      </c>
      <c r="H25" s="6">
        <f>INDEX('1bzr.'!B3:H28,MATCH(22,B4:B29,0),6)</f>
        <v>4276</v>
      </c>
      <c r="V25" s="6">
        <f>RANK('1bzr.'!E24,'1bzr.'!$E$3:'1bzr.'!$E$28,1)+COUNTIF('1bzr.'!$E$3:'1bzr.'!E24,'1bzr.'!E24)-1</f>
        <v>26</v>
      </c>
      <c r="W25" s="136" t="str">
        <f>INDEX('1bzr.'!B3:H28,MATCH(22,V4:V29,0),1)</f>
        <v>Przemyśl</v>
      </c>
      <c r="X25" s="6">
        <f>INDEX('1bzr.'!E3:H28,MATCH(22,V4:V29,0),1)</f>
        <v>-36</v>
      </c>
      <c r="Y25" s="135">
        <v>21</v>
      </c>
      <c r="Z25" s="170">
        <f>RANK('1bzr.'!F24,'1bzr.'!$F$3:'1bzr.'!$F$28,1)+COUNTIF('1bzr.'!$F$3:'1bzr.'!F24,'1bzr.'!F24)-1</f>
        <v>22</v>
      </c>
      <c r="AA25" s="171" t="str">
        <f>INDEX('1bzr.'!B3:G28,MATCH(22,Z4:Z29,0),1)</f>
        <v>Krosno</v>
      </c>
      <c r="AB25" s="8">
        <f>INDEX('1bzr.'!D3:H28,MATCH(22,Z4:Z29,0),3)</f>
        <v>-2.0408163265306123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1222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4438</v>
      </c>
    </row>
    <row r="26" spans="2:36" x14ac:dyDescent="0.2">
      <c r="B26" s="6">
        <f>RANK('1bzr.'!C25,'1bzr.'!$C$3:'1bzr.'!$C$28,1)+COUNTIF('1bzr.'!$C$3:'1bzr.'!C25,'1bzr.'!C25)-1</f>
        <v>10</v>
      </c>
      <c r="C26" s="5" t="str">
        <f>INDEX('1bzr.'!B3:H28,MATCH(23,B4:B29,0),1)</f>
        <v>rzeszowski</v>
      </c>
      <c r="D26" s="6">
        <f>INDEX('1bzr.'!B3:H28,MATCH(23,B4:B29,0),2)</f>
        <v>4600</v>
      </c>
      <c r="E26" s="42">
        <f>INDEX('1bzr.'!B3:H28,MATCH(23,B4:B29,0),3)</f>
        <v>4650</v>
      </c>
      <c r="F26" s="6">
        <f>INDEX('1bzr.'!B3:H28,MATCH(23,B4:B29,0),4)</f>
        <v>-50</v>
      </c>
      <c r="G26" s="42">
        <f>INDEX('1bzr.'!B3:H28,MATCH(23,B4:B29,0),5)</f>
        <v>-1.0752688172043012</v>
      </c>
      <c r="H26" s="6">
        <f>INDEX('1bzr.'!B3:H28,MATCH(23,B4:B29,0),6)</f>
        <v>4604</v>
      </c>
      <c r="V26" s="6">
        <f>RANK('1bzr.'!E25,'1bzr.'!$E$3:'1bzr.'!$E$28,1)+COUNTIF('1bzr.'!$E$3:'1bzr.'!E25,'1bzr.'!E25)-1</f>
        <v>22</v>
      </c>
      <c r="W26" s="136" t="str">
        <f>INDEX('1bzr.'!B3:H28,MATCH(23,V4:V29,0),1)</f>
        <v>Tarnobrzeg</v>
      </c>
      <c r="X26" s="6">
        <f>INDEX('1bzr.'!E3:H28,MATCH(23,V4:V29,0),1)</f>
        <v>-35</v>
      </c>
      <c r="Y26" s="135">
        <v>22</v>
      </c>
      <c r="Z26" s="170">
        <f>RANK('1bzr.'!F25,'1bzr.'!$F$3:'1bzr.'!$F$28,1)+COUNTIF('1bzr.'!$F$3:'1bzr.'!F25,'1bzr.'!F25)-1</f>
        <v>24</v>
      </c>
      <c r="AA26" s="171" t="str">
        <f>INDEX('1bzr.'!B3:G28,MATCH(23,Z4:Z29,0),1)</f>
        <v>przeworski</v>
      </c>
      <c r="AB26" s="8">
        <f>INDEX('1bzr.'!D3:H28,MATCH(23,Z4:Z29,0),3)</f>
        <v>-2.0347979946918313</v>
      </c>
      <c r="AC26" s="2"/>
      <c r="AD26" s="6">
        <f>RANK('1bzr.'!C25,'1bzr.'!$C$3:'1bzr.'!$C$28,1)+COUNTIF('1bzr.'!$C$3:'1bzr.'!C25,'1bzr.'!C25)-1</f>
        <v>10</v>
      </c>
      <c r="AE26" s="121" t="str">
        <f>INDEX('1bzr.'!B3:H28,MATCH(3,AD4:AD29,0),1)</f>
        <v>bieszczadzki</v>
      </c>
      <c r="AF26" s="6">
        <f>INDEX('1bzr.'!B3:L28,MATCH(3,AD4:AD29,0),2)</f>
        <v>1033</v>
      </c>
      <c r="AH26" s="6">
        <f>RANK('1bzr.'!C25,'1bzr.'!$C$3:'1bzr.'!$C$28,1)+COUNTIF('1bzr.'!$C$3:'1bzr.'!C25,'1bzr.'!C25)-1</f>
        <v>10</v>
      </c>
      <c r="AI26" s="121" t="str">
        <f>INDEX('1bzr.'!B3:H28,MATCH(23,AH4:AH29,0),1)</f>
        <v>rzeszowski</v>
      </c>
      <c r="AJ26" s="6">
        <f>INDEX('1bzr.'!B3:L28,MATCH(23,AH4:AH29,0),2)</f>
        <v>4600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4833</v>
      </c>
      <c r="E27" s="42">
        <f>INDEX('1bzr.'!B3:H28,MATCH(24,B4:B29,0),3)</f>
        <v>4996</v>
      </c>
      <c r="F27" s="6">
        <f>INDEX('1bzr.'!B3:H28,MATCH(24,B4:B29,0),4)</f>
        <v>-163</v>
      </c>
      <c r="G27" s="42">
        <f>INDEX('1bzr.'!B3:H28,MATCH(24,B4:B29,0),5)</f>
        <v>-3.2626100880704563</v>
      </c>
      <c r="H27" s="6">
        <f>INDEX('1bzr.'!B3:H28,MATCH(24,B4:B29,0),6)</f>
        <v>4902</v>
      </c>
      <c r="V27" s="6">
        <f>RANK('1bzr.'!E26,'1bzr.'!$E$3:'1bzr.'!$E$28,1)+COUNTIF('1bzr.'!$E$3:'1bzr.'!E26,'1bzr.'!E26)-1</f>
        <v>25</v>
      </c>
      <c r="W27" s="136" t="str">
        <f>INDEX('1bzr.'!B3:H28,MATCH(24,V4:V29,0),1)</f>
        <v xml:space="preserve">tarnobrzeski </v>
      </c>
      <c r="X27" s="6">
        <f>INDEX('1bzr.'!E3:H28,MATCH(24,V4:V29,0),1)</f>
        <v>-31</v>
      </c>
      <c r="Y27" s="135">
        <v>23</v>
      </c>
      <c r="Z27" s="170">
        <f>RANK('1bzr.'!F26,'1bzr.'!$F$3:'1bzr.'!$F$28,1)+COUNTIF('1bzr.'!$F$3:'1bzr.'!F26,'1bzr.'!F26)-1</f>
        <v>26</v>
      </c>
      <c r="AA27" s="171" t="str">
        <f>INDEX('1bzr.'!B3:G28,MATCH(24,Z4:Z29,0),1)</f>
        <v>Przemyśl</v>
      </c>
      <c r="AB27" s="8">
        <f>INDEX('1bzr.'!D3:H28,MATCH(24,Z4:Z29,0),3)</f>
        <v>-1.5286624203821657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Tarnobrzeg</v>
      </c>
      <c r="AF27" s="6">
        <f>INDEX('1bzr.'!B3:L28,MATCH(2,AD4:AD29,0),2)</f>
        <v>1013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4833</v>
      </c>
    </row>
    <row r="28" spans="2:36" x14ac:dyDescent="0.2">
      <c r="B28" s="6">
        <f>RANK('1bzr.'!C27,'1bzr.'!$C$3:'1bzr.'!$C$28,1)+COUNTIF('1bzr.'!$C$3:'1bzr.'!C27,'1bzr.'!C27)-1</f>
        <v>2</v>
      </c>
      <c r="C28" s="5" t="str">
        <f>INDEX('1bzr.'!B3:H28,MATCH(25,B4:B29,0),1)</f>
        <v>Rzeszów</v>
      </c>
      <c r="D28" s="6">
        <f>INDEX('1bzr.'!B3:H28,MATCH(25,B4:B29,0),2)</f>
        <v>5107</v>
      </c>
      <c r="E28" s="42">
        <f>INDEX('1bzr.'!B3:H28,MATCH(25,B4:B29,0),3)</f>
        <v>5127</v>
      </c>
      <c r="F28" s="6">
        <f>INDEX('1bzr.'!B3:H28,MATCH(25,B4:B29,0),4)</f>
        <v>-20</v>
      </c>
      <c r="G28" s="42">
        <f>INDEX('1bzr.'!B3:H28,MATCH(25,B4:B29,0),5)</f>
        <v>-0.39009167154281255</v>
      </c>
      <c r="H28" s="6">
        <f>INDEX('1bzr.'!B3:H28,MATCH(25,B4:B29,0),6)</f>
        <v>5039</v>
      </c>
      <c r="V28" s="6">
        <f>RANK('1bzr.'!E27,'1bzr.'!$E$3:'1bzr.'!$E$28,1)+COUNTIF('1bzr.'!$E$3:'1bzr.'!E27,'1bzr.'!E27)-1</f>
        <v>23</v>
      </c>
      <c r="W28" s="125" t="str">
        <f>INDEX('1bzr.'!B3:H28,MATCH(25,V4:V29,0),1)</f>
        <v>Rzeszów</v>
      </c>
      <c r="X28" s="6">
        <f>INDEX('1bzr.'!E3:H28,MATCH(25,V4:V29,0),1)</f>
        <v>-20</v>
      </c>
      <c r="Y28" s="135">
        <v>24</v>
      </c>
      <c r="Z28" s="170">
        <f>RANK('1bzr.'!F27,'1bzr.'!$F$3:'1bzr.'!$F$28,1)+COUNTIF('1bzr.'!$F$3:'1bzr.'!F27,'1bzr.'!F27)-1</f>
        <v>13</v>
      </c>
      <c r="AA28" s="171" t="str">
        <f>INDEX('1bzr.'!B3:G28,MATCH(25,Z4:Z29,0),1)</f>
        <v>rzeszowski</v>
      </c>
      <c r="AB28" s="8">
        <f>INDEX('1bzr.'!D3:H28,MATCH(25,Z4:Z29,0),3)</f>
        <v>-1.0752688172043012</v>
      </c>
      <c r="AC28" s="2"/>
      <c r="AD28" s="6">
        <f>RANK('1bzr.'!C27,'1bzr.'!$C$3:'1bzr.'!$C$28,1)+COUNTIF('1bzr.'!$C$3:'1bzr.'!C27,'1bzr.'!C27)-1</f>
        <v>2</v>
      </c>
      <c r="AE28" s="121" t="str">
        <f>INDEX('1bzr.'!B3:H28,MATCH(1,AD4:AD29,0),1)</f>
        <v>Krosno</v>
      </c>
      <c r="AF28" s="6">
        <f>INDEX('1bzr.'!B3:L28,MATCH(1,AD4:AD29,0),2)</f>
        <v>864</v>
      </c>
      <c r="AH28" s="6">
        <f>RANK('1bzr.'!C27,'1bzr.'!$C$3:'1bzr.'!$C$28,1)+COUNTIF('1bzr.'!$C$3:'1bzr.'!C27,'1bzr.'!C27)-1</f>
        <v>2</v>
      </c>
      <c r="AI28" s="121" t="str">
        <f>INDEX('1bzr.'!B3:H28,MATCH(25,AH4:AH29,0),1)</f>
        <v>Rzeszów</v>
      </c>
      <c r="AJ28" s="6">
        <f>INDEX('1bzr.'!B3:L28,MATCH(25,AH4:AH29,0),2)</f>
        <v>5107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66808</v>
      </c>
      <c r="E29" s="44">
        <f>INDEX('1bzr.'!B3:H28,MATCH(26,B4:B29,0),3)</f>
        <v>69031</v>
      </c>
      <c r="F29" s="40">
        <f>INDEX('1bzr.'!B3:H28,MATCH(26,B4:B29,0),4)</f>
        <v>-2223</v>
      </c>
      <c r="G29" s="44">
        <f>INDEX('1bzr.'!B3:H28,MATCH(26,B4:B29,0),5)</f>
        <v>-3.2202923324303572</v>
      </c>
      <c r="H29" s="40">
        <f>INDEX('1bzr.'!B3:H28,MATCH(26,B4:B29,0),6)</f>
        <v>66247</v>
      </c>
      <c r="V29" s="6">
        <f>RANK('1bzr.'!E28,'1bzr.'!$E$3:'1bzr.'!$E$28,1)+COUNTIF('1bzr.'!$E$3:'1bzr.'!E28,'1bzr.'!E28)-1</f>
        <v>1</v>
      </c>
      <c r="W29" s="169" t="str">
        <f>INDEX('1bzr.'!B3:H28,MATCH(26,V4:V29,0),1)</f>
        <v>Krosno</v>
      </c>
      <c r="X29" s="6">
        <f>INDEX('1bzr.'!E3:H28,MATCH(26,V4:V29,0),1)</f>
        <v>-18</v>
      </c>
      <c r="Y29" s="135">
        <v>25</v>
      </c>
      <c r="Z29" s="170">
        <f>RANK('1bzr.'!F28,'1bzr.'!$F$3:'1bzr.'!$F$28,1)+COUNTIF('1bzr.'!$F$3:'1bzr.'!F28,'1bzr.'!F28)-1</f>
        <v>16</v>
      </c>
      <c r="AA29" s="171" t="str">
        <f>INDEX('1bzr.'!B3:G28,MATCH(26,Z4:Z29,0),1)</f>
        <v>Rzeszów</v>
      </c>
      <c r="AB29" s="8">
        <f>INDEX('1bzr.'!D3:H28,MATCH(26,Z4:Z29,0),3)</f>
        <v>-0.39009167154281255</v>
      </c>
      <c r="AC29" s="2"/>
      <c r="AD29" s="124">
        <f>RANK('1bzr.'!C28,'1bzr.'!$C$3:'1bzr.'!$C$28,1)+COUNTIF('1bzr.'!$C$3:'1bzr.'!C28,'1bzr.'!C28)-1</f>
        <v>26</v>
      </c>
      <c r="AE29" s="143" t="str">
        <f>INDEX('1bzr.'!B3:H28,MATCH(26,AD4:AD29,0),1)</f>
        <v>województwo</v>
      </c>
      <c r="AF29" s="124">
        <f>INDEX('1bzr.'!B3:L28,MATCH(26,AD4:AD29,0),2)</f>
        <v>66808</v>
      </c>
      <c r="AH29" s="124">
        <f>RANK('1bzr.'!C28,'1bzr.'!$C$3:'1bzr.'!$C$28,1)+COUNTIF('1bzr.'!$C$3:'1bzr.'!C28,'1bzr.'!C28)-1</f>
        <v>26</v>
      </c>
      <c r="AI29" s="143" t="str">
        <f>INDEX('1bzr.'!B3:H28,MATCH(26,AH4:AH29,0),1)</f>
        <v>województwo</v>
      </c>
      <c r="AJ29" s="124">
        <f>INDEX('1bzr.'!B3:L28,MATCH(26,AH4:AH29,0),2)</f>
        <v>66808</v>
      </c>
    </row>
    <row r="30" spans="2:36" x14ac:dyDescent="0.2">
      <c r="F30" s="19"/>
      <c r="H30" s="19"/>
      <c r="X30" s="49">
        <f>SUM(X5:X29)</f>
        <v>-2223</v>
      </c>
      <c r="Y30" s="49"/>
      <c r="Z30" s="49"/>
      <c r="AA30" s="49"/>
      <c r="AB30" s="49"/>
      <c r="AF30" s="144">
        <f>SUM(AF4:AF28)</f>
        <v>66808</v>
      </c>
      <c r="AJ30" s="144">
        <f>SUM(AJ4:AJ28)</f>
        <v>66808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78</v>
      </c>
      <c r="D2" s="38" t="s">
        <v>73</v>
      </c>
      <c r="E2" s="37" t="s">
        <v>28</v>
      </c>
      <c r="F2" s="38" t="s">
        <v>79</v>
      </c>
      <c r="G2" s="37" t="s">
        <v>26</v>
      </c>
      <c r="I2" s="36" t="s">
        <v>27</v>
      </c>
      <c r="J2" s="37" t="str">
        <f>T('1bzr.'!C2)</f>
        <v>liczba bezrobotnych ogółem stan na 30-04-'25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484</v>
      </c>
      <c r="D3" s="42">
        <v>523</v>
      </c>
      <c r="E3" s="6">
        <f t="shared" ref="E3:E26" si="0">SUM(C3)-D3</f>
        <v>-39</v>
      </c>
      <c r="F3" s="42">
        <v>499</v>
      </c>
      <c r="G3" s="6">
        <f t="shared" ref="G3:G26" si="1">SUM(C3)-F3</f>
        <v>-15</v>
      </c>
      <c r="I3" s="5" t="s">
        <v>0</v>
      </c>
      <c r="J3" s="6">
        <f>SUM('1bzr.'!C3)</f>
        <v>1033</v>
      </c>
      <c r="K3" s="6">
        <f>SUM(C3)</f>
        <v>484</v>
      </c>
      <c r="L3" s="23">
        <f t="shared" ref="L3:L28" si="2">SUM(K3)/J3*100</f>
        <v>46.853823814133591</v>
      </c>
    </row>
    <row r="4" spans="2:12" x14ac:dyDescent="0.2">
      <c r="B4" s="5" t="s">
        <v>1</v>
      </c>
      <c r="C4" s="6">
        <v>1779</v>
      </c>
      <c r="D4" s="42">
        <v>1828</v>
      </c>
      <c r="E4" s="6">
        <f t="shared" si="0"/>
        <v>-49</v>
      </c>
      <c r="F4" s="42">
        <v>1806</v>
      </c>
      <c r="G4" s="6">
        <f t="shared" si="1"/>
        <v>-27</v>
      </c>
      <c r="I4" s="5" t="s">
        <v>1</v>
      </c>
      <c r="J4" s="6">
        <f>SUM('1bzr.'!C4)</f>
        <v>3619</v>
      </c>
      <c r="K4" s="6">
        <f t="shared" ref="K4:K27" si="3">SUM(C4)</f>
        <v>1779</v>
      </c>
      <c r="L4" s="23">
        <f t="shared" si="2"/>
        <v>49.157225752970433</v>
      </c>
    </row>
    <row r="5" spans="2:12" x14ac:dyDescent="0.2">
      <c r="B5" s="5" t="s">
        <v>2</v>
      </c>
      <c r="C5" s="6">
        <v>1322</v>
      </c>
      <c r="D5" s="42">
        <v>1420</v>
      </c>
      <c r="E5" s="6">
        <f t="shared" si="0"/>
        <v>-98</v>
      </c>
      <c r="F5" s="42">
        <v>1402</v>
      </c>
      <c r="G5" s="6">
        <f t="shared" si="1"/>
        <v>-80</v>
      </c>
      <c r="I5" s="5" t="s">
        <v>2</v>
      </c>
      <c r="J5" s="6">
        <f>SUM('1bzr.'!C5)</f>
        <v>2265</v>
      </c>
      <c r="K5" s="6">
        <f t="shared" si="3"/>
        <v>1322</v>
      </c>
      <c r="L5" s="23">
        <f t="shared" si="2"/>
        <v>58.366445916114799</v>
      </c>
    </row>
    <row r="6" spans="2:12" x14ac:dyDescent="0.2">
      <c r="B6" s="5" t="s">
        <v>3</v>
      </c>
      <c r="C6" s="6">
        <v>2248</v>
      </c>
      <c r="D6" s="42">
        <v>2345</v>
      </c>
      <c r="E6" s="6">
        <f t="shared" si="0"/>
        <v>-97</v>
      </c>
      <c r="F6" s="42">
        <v>2205</v>
      </c>
      <c r="G6" s="6">
        <f t="shared" si="1"/>
        <v>43</v>
      </c>
      <c r="I6" s="5" t="s">
        <v>3</v>
      </c>
      <c r="J6" s="6">
        <f>SUM('1bzr.'!C6)</f>
        <v>4438</v>
      </c>
      <c r="K6" s="6">
        <f t="shared" si="3"/>
        <v>2248</v>
      </c>
      <c r="L6" s="23">
        <f t="shared" si="2"/>
        <v>50.653447498873369</v>
      </c>
    </row>
    <row r="7" spans="2:12" x14ac:dyDescent="0.2">
      <c r="B7" s="5" t="s">
        <v>4</v>
      </c>
      <c r="C7" s="6">
        <v>2742</v>
      </c>
      <c r="D7" s="42">
        <v>2803</v>
      </c>
      <c r="E7" s="6">
        <f t="shared" si="0"/>
        <v>-61</v>
      </c>
      <c r="F7" s="42">
        <v>2814</v>
      </c>
      <c r="G7" s="6">
        <f t="shared" si="1"/>
        <v>-72</v>
      </c>
      <c r="I7" s="5" t="s">
        <v>4</v>
      </c>
      <c r="J7" s="6">
        <f>SUM('1bzr.'!C7)</f>
        <v>4833</v>
      </c>
      <c r="K7" s="6">
        <f t="shared" si="3"/>
        <v>2742</v>
      </c>
      <c r="L7" s="23">
        <f t="shared" si="2"/>
        <v>56.734947237740528</v>
      </c>
    </row>
    <row r="8" spans="2:12" x14ac:dyDescent="0.2">
      <c r="B8" s="5" t="s">
        <v>5</v>
      </c>
      <c r="C8" s="6">
        <v>725</v>
      </c>
      <c r="D8" s="42">
        <v>749</v>
      </c>
      <c r="E8" s="6">
        <f t="shared" si="0"/>
        <v>-24</v>
      </c>
      <c r="F8" s="42">
        <v>714</v>
      </c>
      <c r="G8" s="6">
        <f t="shared" si="1"/>
        <v>11</v>
      </c>
      <c r="I8" s="5" t="s">
        <v>5</v>
      </c>
      <c r="J8" s="6">
        <f>SUM('1bzr.'!C8)</f>
        <v>1536</v>
      </c>
      <c r="K8" s="6">
        <f t="shared" si="3"/>
        <v>725</v>
      </c>
      <c r="L8" s="23">
        <f>SUM(K8)/J8*100</f>
        <v>47.200520833333329</v>
      </c>
    </row>
    <row r="9" spans="2:12" x14ac:dyDescent="0.2">
      <c r="B9" s="9" t="s">
        <v>6</v>
      </c>
      <c r="C9" s="6">
        <v>1314</v>
      </c>
      <c r="D9" s="42">
        <v>1351</v>
      </c>
      <c r="E9" s="6">
        <f t="shared" si="0"/>
        <v>-37</v>
      </c>
      <c r="F9" s="42">
        <v>1247</v>
      </c>
      <c r="G9" s="6">
        <f t="shared" si="1"/>
        <v>67</v>
      </c>
      <c r="I9" s="9" t="s">
        <v>6</v>
      </c>
      <c r="J9" s="6">
        <f>SUM('1bzr.'!C9)</f>
        <v>2409</v>
      </c>
      <c r="K9" s="6">
        <f t="shared" si="3"/>
        <v>1314</v>
      </c>
      <c r="L9" s="23">
        <f t="shared" si="2"/>
        <v>54.54545454545454</v>
      </c>
    </row>
    <row r="10" spans="2:12" x14ac:dyDescent="0.2">
      <c r="B10" s="5" t="s">
        <v>7</v>
      </c>
      <c r="C10" s="6">
        <v>766</v>
      </c>
      <c r="D10" s="42">
        <v>817</v>
      </c>
      <c r="E10" s="6">
        <f t="shared" si="0"/>
        <v>-51</v>
      </c>
      <c r="F10" s="42">
        <v>789</v>
      </c>
      <c r="G10" s="6">
        <f t="shared" si="1"/>
        <v>-23</v>
      </c>
      <c r="I10" s="5" t="s">
        <v>7</v>
      </c>
      <c r="J10" s="6">
        <f>SUM('1bzr.'!C10)</f>
        <v>1635</v>
      </c>
      <c r="K10" s="6">
        <f t="shared" si="3"/>
        <v>766</v>
      </c>
      <c r="L10" s="23">
        <f t="shared" si="2"/>
        <v>46.850152905198776</v>
      </c>
    </row>
    <row r="11" spans="2:12" x14ac:dyDescent="0.2">
      <c r="B11" s="5" t="s">
        <v>8</v>
      </c>
      <c r="C11" s="6">
        <v>1455</v>
      </c>
      <c r="D11" s="42">
        <v>1521</v>
      </c>
      <c r="E11" s="6">
        <f t="shared" si="0"/>
        <v>-66</v>
      </c>
      <c r="F11" s="42">
        <v>1557</v>
      </c>
      <c r="G11" s="6">
        <f t="shared" si="1"/>
        <v>-102</v>
      </c>
      <c r="I11" s="5" t="s">
        <v>8</v>
      </c>
      <c r="J11" s="6">
        <f>SUM('1bzr.'!C11)</f>
        <v>2865</v>
      </c>
      <c r="K11" s="6">
        <f t="shared" si="3"/>
        <v>1455</v>
      </c>
      <c r="L11" s="23">
        <f t="shared" si="2"/>
        <v>50.785340314136128</v>
      </c>
    </row>
    <row r="12" spans="2:12" x14ac:dyDescent="0.2">
      <c r="B12" s="5" t="s">
        <v>9</v>
      </c>
      <c r="C12" s="6">
        <v>703</v>
      </c>
      <c r="D12" s="42">
        <v>766</v>
      </c>
      <c r="E12" s="6">
        <f t="shared" si="0"/>
        <v>-63</v>
      </c>
      <c r="F12" s="42">
        <v>753</v>
      </c>
      <c r="G12" s="6">
        <f t="shared" si="1"/>
        <v>-50</v>
      </c>
      <c r="I12" s="5" t="s">
        <v>9</v>
      </c>
      <c r="J12" s="6">
        <f>SUM('1bzr.'!C12)</f>
        <v>1603</v>
      </c>
      <c r="K12" s="6">
        <f t="shared" si="3"/>
        <v>703</v>
      </c>
      <c r="L12" s="23">
        <f t="shared" si="2"/>
        <v>43.855271366188397</v>
      </c>
    </row>
    <row r="13" spans="2:12" x14ac:dyDescent="0.2">
      <c r="B13" s="5" t="s">
        <v>10</v>
      </c>
      <c r="C13" s="6">
        <v>1145</v>
      </c>
      <c r="D13" s="42">
        <v>1185</v>
      </c>
      <c r="E13" s="6">
        <f t="shared" si="0"/>
        <v>-40</v>
      </c>
      <c r="F13" s="42">
        <v>1163</v>
      </c>
      <c r="G13" s="6">
        <f t="shared" si="1"/>
        <v>-18</v>
      </c>
      <c r="I13" s="5" t="s">
        <v>10</v>
      </c>
      <c r="J13" s="6">
        <f>SUM('1bzr.'!C13)</f>
        <v>2469</v>
      </c>
      <c r="K13" s="6">
        <f t="shared" si="3"/>
        <v>1145</v>
      </c>
      <c r="L13" s="23">
        <f t="shared" si="2"/>
        <v>46.375050627784532</v>
      </c>
    </row>
    <row r="14" spans="2:12" x14ac:dyDescent="0.2">
      <c r="B14" s="5" t="s">
        <v>11</v>
      </c>
      <c r="C14" s="6">
        <v>1463</v>
      </c>
      <c r="D14" s="42">
        <v>1529</v>
      </c>
      <c r="E14" s="6">
        <f t="shared" si="0"/>
        <v>-66</v>
      </c>
      <c r="F14" s="42">
        <v>1401</v>
      </c>
      <c r="G14" s="6">
        <f t="shared" si="1"/>
        <v>62</v>
      </c>
      <c r="I14" s="5" t="s">
        <v>11</v>
      </c>
      <c r="J14" s="6">
        <f>SUM('1bzr.'!C14)</f>
        <v>3081</v>
      </c>
      <c r="K14" s="6">
        <f t="shared" si="3"/>
        <v>1463</v>
      </c>
      <c r="L14" s="23">
        <f t="shared" si="2"/>
        <v>47.484582927620899</v>
      </c>
    </row>
    <row r="15" spans="2:12" x14ac:dyDescent="0.2">
      <c r="B15" s="5" t="s">
        <v>12</v>
      </c>
      <c r="C15" s="6">
        <v>1439</v>
      </c>
      <c r="D15" s="42">
        <v>1492</v>
      </c>
      <c r="E15" s="6">
        <f t="shared" si="0"/>
        <v>-53</v>
      </c>
      <c r="F15" s="42">
        <v>1471</v>
      </c>
      <c r="G15" s="6">
        <f t="shared" si="1"/>
        <v>-32</v>
      </c>
      <c r="I15" s="5" t="s">
        <v>12</v>
      </c>
      <c r="J15" s="6">
        <f>SUM('1bzr.'!C15)</f>
        <v>2870</v>
      </c>
      <c r="K15" s="6">
        <f t="shared" si="3"/>
        <v>1439</v>
      </c>
      <c r="L15" s="23">
        <f t="shared" si="2"/>
        <v>50.139372822299656</v>
      </c>
    </row>
    <row r="16" spans="2:12" x14ac:dyDescent="0.2">
      <c r="B16" s="5" t="s">
        <v>13</v>
      </c>
      <c r="C16" s="6">
        <v>1366</v>
      </c>
      <c r="D16" s="42">
        <v>1405</v>
      </c>
      <c r="E16" s="6">
        <f t="shared" si="0"/>
        <v>-39</v>
      </c>
      <c r="F16" s="42">
        <v>1405</v>
      </c>
      <c r="G16" s="6">
        <f t="shared" si="1"/>
        <v>-39</v>
      </c>
      <c r="I16" s="5" t="s">
        <v>13</v>
      </c>
      <c r="J16" s="6">
        <f>SUM('1bzr.'!C16)</f>
        <v>2855</v>
      </c>
      <c r="K16" s="6">
        <f t="shared" si="3"/>
        <v>1366</v>
      </c>
      <c r="L16" s="23">
        <f t="shared" si="2"/>
        <v>47.845884413309982</v>
      </c>
    </row>
    <row r="17" spans="2:12" x14ac:dyDescent="0.2">
      <c r="B17" s="5" t="s">
        <v>14</v>
      </c>
      <c r="C17" s="6">
        <v>1709</v>
      </c>
      <c r="D17" s="42">
        <v>1769</v>
      </c>
      <c r="E17" s="6">
        <f t="shared" si="0"/>
        <v>-60</v>
      </c>
      <c r="F17" s="42">
        <v>1693</v>
      </c>
      <c r="G17" s="6">
        <f t="shared" si="1"/>
        <v>16</v>
      </c>
      <c r="I17" s="5" t="s">
        <v>14</v>
      </c>
      <c r="J17" s="6">
        <f>SUM('1bzr.'!C17)</f>
        <v>3322</v>
      </c>
      <c r="K17" s="6">
        <f t="shared" si="3"/>
        <v>1709</v>
      </c>
      <c r="L17" s="23">
        <f t="shared" si="2"/>
        <v>51.444912703190852</v>
      </c>
    </row>
    <row r="18" spans="2:12" x14ac:dyDescent="0.2">
      <c r="B18" s="5" t="s">
        <v>15</v>
      </c>
      <c r="C18" s="6">
        <v>1357</v>
      </c>
      <c r="D18" s="42">
        <v>1378</v>
      </c>
      <c r="E18" s="6">
        <f t="shared" si="0"/>
        <v>-21</v>
      </c>
      <c r="F18" s="42">
        <v>1383</v>
      </c>
      <c r="G18" s="6">
        <f t="shared" si="1"/>
        <v>-26</v>
      </c>
      <c r="I18" s="5" t="s">
        <v>15</v>
      </c>
      <c r="J18" s="6">
        <f>SUM('1bzr.'!C18)</f>
        <v>2661</v>
      </c>
      <c r="K18" s="6">
        <f t="shared" si="3"/>
        <v>1357</v>
      </c>
      <c r="L18" s="23">
        <f t="shared" si="2"/>
        <v>50.995866215708382</v>
      </c>
    </row>
    <row r="19" spans="2:12" x14ac:dyDescent="0.2">
      <c r="B19" s="5" t="s">
        <v>16</v>
      </c>
      <c r="C19" s="6">
        <v>2137</v>
      </c>
      <c r="D19" s="42">
        <v>2162</v>
      </c>
      <c r="E19" s="6">
        <f t="shared" si="0"/>
        <v>-25</v>
      </c>
      <c r="F19" s="42">
        <v>2175</v>
      </c>
      <c r="G19" s="6">
        <f t="shared" si="1"/>
        <v>-38</v>
      </c>
      <c r="I19" s="5" t="s">
        <v>16</v>
      </c>
      <c r="J19" s="6">
        <f>SUM('1bzr.'!C19)</f>
        <v>4600</v>
      </c>
      <c r="K19" s="6">
        <f t="shared" si="3"/>
        <v>2137</v>
      </c>
      <c r="L19" s="23">
        <f t="shared" si="2"/>
        <v>46.456521739130437</v>
      </c>
    </row>
    <row r="20" spans="2:12" x14ac:dyDescent="0.2">
      <c r="B20" s="5" t="s">
        <v>17</v>
      </c>
      <c r="C20" s="6">
        <v>1446</v>
      </c>
      <c r="D20" s="42">
        <v>1493</v>
      </c>
      <c r="E20" s="6">
        <f t="shared" si="0"/>
        <v>-47</v>
      </c>
      <c r="F20" s="42">
        <v>1332</v>
      </c>
      <c r="G20" s="6">
        <f t="shared" si="1"/>
        <v>114</v>
      </c>
      <c r="I20" s="5" t="s">
        <v>17</v>
      </c>
      <c r="J20" s="6">
        <f>SUM('1bzr.'!C20)</f>
        <v>2987</v>
      </c>
      <c r="K20" s="6">
        <f t="shared" si="3"/>
        <v>1446</v>
      </c>
      <c r="L20" s="23">
        <f t="shared" si="2"/>
        <v>48.409775694676931</v>
      </c>
    </row>
    <row r="21" spans="2:12" x14ac:dyDescent="0.2">
      <c r="B21" s="5" t="s">
        <v>18</v>
      </c>
      <c r="C21" s="6">
        <v>1109</v>
      </c>
      <c r="D21" s="42">
        <v>1167</v>
      </c>
      <c r="E21" s="6">
        <f t="shared" si="0"/>
        <v>-58</v>
      </c>
      <c r="F21" s="42">
        <v>1012</v>
      </c>
      <c r="G21" s="6">
        <f t="shared" si="1"/>
        <v>97</v>
      </c>
      <c r="I21" s="5" t="s">
        <v>18</v>
      </c>
      <c r="J21" s="6">
        <f>SUM('1bzr.'!C21)</f>
        <v>2206</v>
      </c>
      <c r="K21" s="6">
        <f t="shared" si="3"/>
        <v>1109</v>
      </c>
      <c r="L21" s="23">
        <f t="shared" si="2"/>
        <v>50.271985494106985</v>
      </c>
    </row>
    <row r="22" spans="2:12" x14ac:dyDescent="0.2">
      <c r="B22" s="5" t="s">
        <v>19</v>
      </c>
      <c r="C22" s="6">
        <v>1466</v>
      </c>
      <c r="D22" s="42">
        <v>1521</v>
      </c>
      <c r="E22" s="6">
        <f t="shared" si="0"/>
        <v>-55</v>
      </c>
      <c r="F22" s="42">
        <v>1566</v>
      </c>
      <c r="G22" s="6">
        <f t="shared" si="1"/>
        <v>-100</v>
      </c>
      <c r="I22" s="5" t="s">
        <v>19</v>
      </c>
      <c r="J22" s="6">
        <f>SUM('1bzr.'!C22)</f>
        <v>2996</v>
      </c>
      <c r="K22" s="6">
        <f t="shared" si="3"/>
        <v>1466</v>
      </c>
      <c r="L22" s="23">
        <f t="shared" si="2"/>
        <v>48.931909212283045</v>
      </c>
    </row>
    <row r="23" spans="2:12" x14ac:dyDescent="0.2">
      <c r="B23" s="5" t="s">
        <v>20</v>
      </c>
      <c r="C23" s="6">
        <v>600</v>
      </c>
      <c r="D23" s="42">
        <v>608</v>
      </c>
      <c r="E23" s="6">
        <f t="shared" si="0"/>
        <v>-8</v>
      </c>
      <c r="F23" s="42">
        <v>629</v>
      </c>
      <c r="G23" s="6">
        <f t="shared" si="1"/>
        <v>-29</v>
      </c>
      <c r="I23" s="5" t="s">
        <v>20</v>
      </c>
      <c r="J23" s="6">
        <f>SUM('1bzr.'!C23)</f>
        <v>1222</v>
      </c>
      <c r="K23" s="6">
        <f t="shared" si="3"/>
        <v>600</v>
      </c>
      <c r="L23" s="23">
        <f t="shared" si="2"/>
        <v>49.099836333878891</v>
      </c>
    </row>
    <row r="24" spans="2:12" x14ac:dyDescent="0.2">
      <c r="B24" s="5" t="s">
        <v>21</v>
      </c>
      <c r="C24" s="6">
        <v>463</v>
      </c>
      <c r="D24" s="42">
        <v>465</v>
      </c>
      <c r="E24" s="6">
        <f t="shared" si="0"/>
        <v>-2</v>
      </c>
      <c r="F24" s="42">
        <v>465</v>
      </c>
      <c r="G24" s="6">
        <f t="shared" si="1"/>
        <v>-2</v>
      </c>
      <c r="I24" s="5" t="s">
        <v>21</v>
      </c>
      <c r="J24" s="6">
        <f>SUM('1bzr.'!C24)</f>
        <v>864</v>
      </c>
      <c r="K24" s="6">
        <f t="shared" si="3"/>
        <v>463</v>
      </c>
      <c r="L24" s="23">
        <f t="shared" si="2"/>
        <v>53.587962962962962</v>
      </c>
    </row>
    <row r="25" spans="2:12" x14ac:dyDescent="0.2">
      <c r="B25" s="5" t="s">
        <v>22</v>
      </c>
      <c r="C25" s="6">
        <v>1052</v>
      </c>
      <c r="D25" s="42">
        <v>1080</v>
      </c>
      <c r="E25" s="6">
        <f t="shared" si="0"/>
        <v>-28</v>
      </c>
      <c r="F25" s="42">
        <v>1111</v>
      </c>
      <c r="G25" s="6">
        <f t="shared" si="1"/>
        <v>-59</v>
      </c>
      <c r="I25" s="5" t="s">
        <v>22</v>
      </c>
      <c r="J25" s="6">
        <f>SUM('1bzr.'!C25)</f>
        <v>2319</v>
      </c>
      <c r="K25" s="6">
        <f t="shared" si="3"/>
        <v>1052</v>
      </c>
      <c r="L25" s="23">
        <f t="shared" si="2"/>
        <v>45.364381198792579</v>
      </c>
    </row>
    <row r="26" spans="2:12" x14ac:dyDescent="0.2">
      <c r="B26" s="5" t="s">
        <v>23</v>
      </c>
      <c r="C26" s="6">
        <v>2530</v>
      </c>
      <c r="D26" s="42">
        <v>2557</v>
      </c>
      <c r="E26" s="6">
        <f t="shared" si="0"/>
        <v>-27</v>
      </c>
      <c r="F26" s="42">
        <v>2536</v>
      </c>
      <c r="G26" s="6">
        <f t="shared" si="1"/>
        <v>-6</v>
      </c>
      <c r="I26" s="5" t="s">
        <v>23</v>
      </c>
      <c r="J26" s="6">
        <f>SUM('1bzr.'!C26)</f>
        <v>5107</v>
      </c>
      <c r="K26" s="6">
        <f t="shared" si="3"/>
        <v>2530</v>
      </c>
      <c r="L26" s="23">
        <f t="shared" si="2"/>
        <v>49.539847268455063</v>
      </c>
    </row>
    <row r="27" spans="2:12" x14ac:dyDescent="0.2">
      <c r="B27" s="5" t="s">
        <v>24</v>
      </c>
      <c r="C27" s="6">
        <v>507</v>
      </c>
      <c r="D27" s="42">
        <v>517</v>
      </c>
      <c r="E27" s="6">
        <f>SUM(C27)-D27</f>
        <v>-10</v>
      </c>
      <c r="F27" s="42">
        <v>535</v>
      </c>
      <c r="G27" s="6">
        <f>SUM(C27)-F27</f>
        <v>-28</v>
      </c>
      <c r="I27" s="5" t="s">
        <v>24</v>
      </c>
      <c r="J27" s="6">
        <f>SUM('1bzr.'!C27)</f>
        <v>1013</v>
      </c>
      <c r="K27" s="6">
        <f t="shared" si="3"/>
        <v>507</v>
      </c>
      <c r="L27" s="23">
        <f t="shared" si="2"/>
        <v>50.049358341559724</v>
      </c>
    </row>
    <row r="28" spans="2:12" ht="15" x14ac:dyDescent="0.25">
      <c r="B28" s="39" t="s">
        <v>25</v>
      </c>
      <c r="C28" s="40">
        <f>SUM(C3:C27)</f>
        <v>33327</v>
      </c>
      <c r="D28" s="41">
        <f>SUM(D3:D27)</f>
        <v>34451</v>
      </c>
      <c r="E28" s="40">
        <f>SUM(E3:E27)</f>
        <v>-1124</v>
      </c>
      <c r="F28" s="41">
        <f>SUM(F3:F27)</f>
        <v>33663</v>
      </c>
      <c r="G28" s="40">
        <f>SUM(G3:G27)</f>
        <v>-336</v>
      </c>
      <c r="I28" s="39" t="s">
        <v>25</v>
      </c>
      <c r="J28" s="40">
        <f>SUM(J3:J27)</f>
        <v>66808</v>
      </c>
      <c r="K28" s="40">
        <f>SUM(K3:K27)</f>
        <v>33327</v>
      </c>
      <c r="L28" s="45">
        <f t="shared" si="2"/>
        <v>49.884744341994967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30-04-'25 r.</v>
      </c>
      <c r="E3" s="36" t="str">
        <f>T('2kob.'!D2)</f>
        <v>liczba bezrobotnych kobiet stan na 31-03-'25 r.</v>
      </c>
      <c r="F3" s="36" t="str">
        <f>T('2kob.'!E2)</f>
        <v>wzrost/spadek do poprzedniego  miesiąca</v>
      </c>
      <c r="G3" s="36" t="str">
        <f>T('2kob.'!F2)</f>
        <v>liczba bezrobotnych kobiet stan na 30-04-'24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4">
        <f>INDEX('2kob.'!B3:G28,MATCH(1,B4:B29,0),2)</f>
        <v>463</v>
      </c>
      <c r="E4" s="42">
        <f>INDEX('2kob.'!B3:G28,MATCH(1,B4:B29,0),3)</f>
        <v>465</v>
      </c>
      <c r="F4" s="6">
        <f>INDEX('2kob.'!B3:G28,MATCH(1,B4:B29,0),4)</f>
        <v>-2</v>
      </c>
      <c r="G4" s="42">
        <f>INDEX('2kob.'!B3:G28,MATCH(1,B4:B29,0),5)</f>
        <v>465</v>
      </c>
      <c r="H4" s="6">
        <f>INDEX('2kob.'!B3:G28,MATCH(1,B4:B29,0),6)</f>
        <v>-2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484</v>
      </c>
      <c r="E5" s="42">
        <f>INDEX('2kob.'!B3:G28,MATCH(2,B4:B29,0),3)</f>
        <v>523</v>
      </c>
      <c r="F5" s="6">
        <f>INDEX('2kob.'!B3:G28,MATCH(2,B4:B29,0),4)</f>
        <v>-39</v>
      </c>
      <c r="G5" s="42">
        <f>INDEX('2kob.'!B3:G28,MATCH(2,B4:B29,0),5)</f>
        <v>499</v>
      </c>
      <c r="H5" s="6">
        <f>INDEX('2kob.'!B3:G28,MATCH(2,B4:B29,0),6)</f>
        <v>-15</v>
      </c>
    </row>
    <row r="6" spans="2:8" x14ac:dyDescent="0.2">
      <c r="B6" s="6">
        <f>RANK('2kob.'!C5,'2kob.'!$C$3:'2kob.'!$C$28,1)+COUNTIF('2kob.'!$C$3:'2kob.'!C5,'2kob.'!C5)-1</f>
        <v>12</v>
      </c>
      <c r="C6" s="5" t="str">
        <f>INDEX('2kob.'!B3:G28,MATCH(3,B4:B29,0),1)</f>
        <v>Tarnobrzeg</v>
      </c>
      <c r="D6" s="6">
        <f>INDEX('2kob.'!B3:G28,MATCH(3,B4:B29,0),2)</f>
        <v>507</v>
      </c>
      <c r="E6" s="42">
        <f>INDEX('2kob.'!B3:G28,MATCH(3,B4:B29,0),3)</f>
        <v>517</v>
      </c>
      <c r="F6" s="6">
        <f>INDEX('2kob.'!B3:G28,MATCH(3,B4:B29,0),4)</f>
        <v>-10</v>
      </c>
      <c r="G6" s="42">
        <f>INDEX('2kob.'!B3:G28,MATCH(3,B4:B29,0),5)</f>
        <v>535</v>
      </c>
      <c r="H6" s="6">
        <f>INDEX('2kob.'!B3:G28,MATCH(3,B4:B29,0),6)</f>
        <v>-28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600</v>
      </c>
      <c r="E7" s="42">
        <f>INDEX('2kob.'!B3:G28,MATCH(4,B4:B29,0),3)</f>
        <v>608</v>
      </c>
      <c r="F7" s="6">
        <f>INDEX('2kob.'!B3:G28,MATCH(4,B4:B29,0),4)</f>
        <v>-8</v>
      </c>
      <c r="G7" s="42">
        <f>INDEX('2kob.'!B3:G28,MATCH(4,B4:B29,0),5)</f>
        <v>629</v>
      </c>
      <c r="H7" s="6">
        <f>INDEX('2kob.'!B3:G28,MATCH(4,B4:B29,0),6)</f>
        <v>-29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lubaczowski</v>
      </c>
      <c r="D8" s="6">
        <f>INDEX('2kob.'!B3:G28,MATCH(5,B4:B29,0),2)</f>
        <v>703</v>
      </c>
      <c r="E8" s="42">
        <f>INDEX('2kob.'!B3:G28,MATCH(5,B4:B29,0),3)</f>
        <v>766</v>
      </c>
      <c r="F8" s="6">
        <f>INDEX('2kob.'!B3:G28,MATCH(5,B4:B29,0),4)</f>
        <v>-63</v>
      </c>
      <c r="G8" s="42">
        <f>INDEX('2kob.'!B3:G28,MATCH(5,B4:B29,0),5)</f>
        <v>753</v>
      </c>
      <c r="H8" s="6">
        <f>INDEX('2kob.'!B3:G28,MATCH(5,B4:B29,0),6)</f>
        <v>-50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725</v>
      </c>
      <c r="E9" s="42">
        <f>INDEX('2kob.'!B3:G28,MATCH(6,B4:B29,0),3)</f>
        <v>749</v>
      </c>
      <c r="F9" s="6">
        <f>INDEX('2kob.'!B3:G28,MATCH(6,B4:B29,0),4)</f>
        <v>-24</v>
      </c>
      <c r="G9" s="42">
        <f>INDEX('2kob.'!B3:G28,MATCH(6,B4:B29,0),5)</f>
        <v>714</v>
      </c>
      <c r="H9" s="6">
        <f>INDEX('2kob.'!B3:G28,MATCH(6,B4:B29,0),6)</f>
        <v>11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766</v>
      </c>
      <c r="E10" s="42">
        <f>INDEX('2kob.'!B3:G28,MATCH(7,B4:B29,0),3)</f>
        <v>817</v>
      </c>
      <c r="F10" s="6">
        <f>INDEX('2kob.'!B3:G28,MATCH(7,B4:B29,0),4)</f>
        <v>-51</v>
      </c>
      <c r="G10" s="42">
        <f>INDEX('2kob.'!B3:G28,MATCH(7,B4:B29,0),5)</f>
        <v>789</v>
      </c>
      <c r="H10" s="6">
        <f>INDEX('2kob.'!B3:G28,MATCH(7,B4:B29,0),6)</f>
        <v>-23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1052</v>
      </c>
      <c r="E11" s="42">
        <f>INDEX('2kob.'!B3:G28,MATCH(8,B4:B29,0),3)</f>
        <v>1080</v>
      </c>
      <c r="F11" s="6">
        <f>INDEX('2kob.'!B3:G28,MATCH(8,B4:B29,0),4)</f>
        <v>-28</v>
      </c>
      <c r="G11" s="42">
        <f>INDEX('2kob.'!B3:G28,MATCH(8,B4:B29,0),5)</f>
        <v>1111</v>
      </c>
      <c r="H11" s="6">
        <f>INDEX('2kob.'!B3:G28,MATCH(8,B4:B29,0),6)</f>
        <v>-59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stalowowolski</v>
      </c>
      <c r="D12" s="6">
        <f>INDEX('2kob.'!B3:G28,MATCH(9,B4:B29,0),2)</f>
        <v>1109</v>
      </c>
      <c r="E12" s="42">
        <f>INDEX('2kob.'!B3:G28,MATCH(9,B4:B29,0),3)</f>
        <v>1167</v>
      </c>
      <c r="F12" s="6">
        <f>INDEX('2kob.'!B3:G28,MATCH(9,B4:B29,0),4)</f>
        <v>-58</v>
      </c>
      <c r="G12" s="42">
        <f>INDEX('2kob.'!B3:G28,MATCH(9,B4:B29,0),5)</f>
        <v>1012</v>
      </c>
      <c r="H12" s="6">
        <f>INDEX('2kob.'!B3:G28,MATCH(9,B4:B29,0),6)</f>
        <v>97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łańcucki</v>
      </c>
      <c r="D13" s="6">
        <f>INDEX('2kob.'!B3:G28,MATCH(10,B4:B29,0),2)</f>
        <v>1145</v>
      </c>
      <c r="E13" s="42">
        <f>INDEX('2kob.'!B3:G28,MATCH(10,B4:B29,0),3)</f>
        <v>1185</v>
      </c>
      <c r="F13" s="6">
        <f>INDEX('2kob.'!B3:G28,MATCH(10,B4:B29,0),4)</f>
        <v>-40</v>
      </c>
      <c r="G13" s="42">
        <f>INDEX('2kob.'!B3:G28,MATCH(10,B4:B29,0),5)</f>
        <v>1163</v>
      </c>
      <c r="H13" s="6">
        <f>INDEX('2kob.'!B3:G28,MATCH(10,B4:B29,0),6)</f>
        <v>-18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1314</v>
      </c>
      <c r="E14" s="42">
        <f>INDEX('2kob.'!B3:G28,MATCH(11,B4:B29,0),3)</f>
        <v>1351</v>
      </c>
      <c r="F14" s="6">
        <f>INDEX('2kob.'!B3:G28,MATCH(11,B4:B29,0),4)</f>
        <v>-37</v>
      </c>
      <c r="G14" s="42">
        <f>INDEX('2kob.'!B3:G28,MATCH(11,B4:B29,0),5)</f>
        <v>1247</v>
      </c>
      <c r="H14" s="6">
        <f>INDEX('2kob.'!B3:G28,MATCH(11,B4:B29,0),6)</f>
        <v>67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dębicki</v>
      </c>
      <c r="D15" s="6">
        <f>INDEX('2kob.'!B3:G28,MATCH(12,B4:B29,0),2)</f>
        <v>1322</v>
      </c>
      <c r="E15" s="42">
        <f>INDEX('2kob.'!B3:G28,MATCH(12,B4:B29,0),3)</f>
        <v>1420</v>
      </c>
      <c r="F15" s="6">
        <f>INDEX('2kob.'!B3:G28,MATCH(12,B4:B29,0),4)</f>
        <v>-98</v>
      </c>
      <c r="G15" s="42">
        <f>INDEX('2kob.'!B3:G28,MATCH(12,B4:B29,0),5)</f>
        <v>1402</v>
      </c>
      <c r="H15" s="6">
        <f>INDEX('2kob.'!B3:G28,MATCH(12,B4:B29,0),6)</f>
        <v>-80</v>
      </c>
    </row>
    <row r="16" spans="2:8" x14ac:dyDescent="0.2">
      <c r="B16" s="6">
        <f>RANK('2kob.'!C15,'2kob.'!$C$3:'2kob.'!$C$28,1)+COUNTIF('2kob.'!$C$3:'2kob.'!C15,'2kob.'!C15)-1</f>
        <v>15</v>
      </c>
      <c r="C16" s="5" t="str">
        <f>INDEX('2kob.'!B3:G28,MATCH(13,B4:B29,0),1)</f>
        <v>ropczycko-sędziszowski</v>
      </c>
      <c r="D16" s="6">
        <f>INDEX('2kob.'!B3:G28,MATCH(13,B4:B29,0),2)</f>
        <v>1357</v>
      </c>
      <c r="E16" s="42">
        <f>INDEX('2kob.'!B3:G28,MATCH(13,B4:B29,0),3)</f>
        <v>1378</v>
      </c>
      <c r="F16" s="6">
        <f>INDEX('2kob.'!B3:G28,MATCH(13,B4:B29,0),4)</f>
        <v>-21</v>
      </c>
      <c r="G16" s="42">
        <f>INDEX('2kob.'!B3:G28,MATCH(13,B4:B29,0),5)</f>
        <v>1383</v>
      </c>
      <c r="H16" s="6">
        <f>INDEX('2kob.'!B3:G28,MATCH(13,B4:B29,0),6)</f>
        <v>-26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1366</v>
      </c>
      <c r="E17" s="42">
        <f>INDEX('2kob.'!B3:G28,MATCH(14,B4:B29,0),3)</f>
        <v>1405</v>
      </c>
      <c r="F17" s="6">
        <f>INDEX('2kob.'!B3:G28,MATCH(14,B4:B29,0),4)</f>
        <v>-39</v>
      </c>
      <c r="G17" s="42">
        <f>INDEX('2kob.'!B3:G28,MATCH(14,B4:B29,0),5)</f>
        <v>1405</v>
      </c>
      <c r="H17" s="6">
        <f>INDEX('2kob.'!B3:G28,MATCH(14,B4:B29,0),6)</f>
        <v>-39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niżański</v>
      </c>
      <c r="D18" s="6">
        <f>INDEX('2kob.'!B3:G28,MATCH(15,B4:B29,0),2)</f>
        <v>1439</v>
      </c>
      <c r="E18" s="42">
        <f>INDEX('2kob.'!B3:G28,MATCH(15,B4:B29,0),3)</f>
        <v>1492</v>
      </c>
      <c r="F18" s="6">
        <f>INDEX('2kob.'!B3:G28,MATCH(15,B4:B29,0),4)</f>
        <v>-53</v>
      </c>
      <c r="G18" s="42">
        <f>INDEX('2kob.'!B3:G28,MATCH(15,B4:B29,0),5)</f>
        <v>1471</v>
      </c>
      <c r="H18" s="6">
        <f>INDEX('2kob.'!B3:G28,MATCH(15,B4:B29,0),6)</f>
        <v>-32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sanocki</v>
      </c>
      <c r="D19" s="6">
        <f>INDEX('2kob.'!B3:G28,MATCH(16,B4:B29,0),2)</f>
        <v>1446</v>
      </c>
      <c r="E19" s="42">
        <f>INDEX('2kob.'!B3:G28,MATCH(16,B4:B29,0),3)</f>
        <v>1493</v>
      </c>
      <c r="F19" s="6">
        <f>INDEX('2kob.'!B3:G28,MATCH(16,B4:B29,0),4)</f>
        <v>-47</v>
      </c>
      <c r="G19" s="42">
        <f>INDEX('2kob.'!B3:G28,MATCH(16,B4:B29,0),5)</f>
        <v>1332</v>
      </c>
      <c r="H19" s="6">
        <f>INDEX('2kob.'!B3:G28,MATCH(16,B4:B29,0),6)</f>
        <v>114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1455</v>
      </c>
      <c r="E20" s="42">
        <f>INDEX('2kob.'!B3:G28,MATCH(17,B4:B29,0),3)</f>
        <v>1521</v>
      </c>
      <c r="F20" s="6">
        <f>INDEX('2kob.'!B3:G28,MATCH(17,B4:B29,0),4)</f>
        <v>-66</v>
      </c>
      <c r="G20" s="42">
        <f>INDEX('2kob.'!B3:G28,MATCH(17,B4:B29,0),5)</f>
        <v>1557</v>
      </c>
      <c r="H20" s="6">
        <f>INDEX('2kob.'!B3:G28,MATCH(17,B4:B29,0),6)</f>
        <v>-102</v>
      </c>
    </row>
    <row r="21" spans="2:8" x14ac:dyDescent="0.2">
      <c r="B21" s="6">
        <f>RANK('2kob.'!C20,'2kob.'!$C$3:'2kob.'!$C$28,1)+COUNTIF('2kob.'!$C$3:'2kob.'!C20,'2kob.'!C20)-1</f>
        <v>16</v>
      </c>
      <c r="C21" s="5" t="str">
        <f>INDEX('2kob.'!B3:G28,MATCH(18,B4:B29,0),1)</f>
        <v>mielecki</v>
      </c>
      <c r="D21" s="6">
        <f>INDEX('2kob.'!B3:G28,MATCH(18,B4:B29,0),2)</f>
        <v>1463</v>
      </c>
      <c r="E21" s="42">
        <f>INDEX('2kob.'!B3:G28,MATCH(18,B4:B29,0),3)</f>
        <v>1529</v>
      </c>
      <c r="F21" s="6">
        <f>INDEX('2kob.'!B3:G28,MATCH(18,B4:B29,0),4)</f>
        <v>-66</v>
      </c>
      <c r="G21" s="42">
        <f>INDEX('2kob.'!B3:G28,MATCH(18,B4:B29,0),5)</f>
        <v>1401</v>
      </c>
      <c r="H21" s="6">
        <f>INDEX('2kob.'!B3:G28,MATCH(18,B4:B29,0),6)</f>
        <v>62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strzyżowski</v>
      </c>
      <c r="D22" s="6">
        <f>INDEX('2kob.'!B3:G28,MATCH(19,B4:B29,0),2)</f>
        <v>1466</v>
      </c>
      <c r="E22" s="42">
        <f>INDEX('2kob.'!B3:G28,MATCH(19,B4:B29,0),3)</f>
        <v>1521</v>
      </c>
      <c r="F22" s="6">
        <f>INDEX('2kob.'!B3:G28,MATCH(19,B4:B29,0),4)</f>
        <v>-55</v>
      </c>
      <c r="G22" s="42">
        <f>INDEX('2kob.'!B3:G28,MATCH(19,B4:B29,0),5)</f>
        <v>1566</v>
      </c>
      <c r="H22" s="6">
        <f>INDEX('2kob.'!B3:G28,MATCH(19,B4:B29,0),6)</f>
        <v>-100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1709</v>
      </c>
      <c r="E23" s="42">
        <f>INDEX('2kob.'!B3:G28,MATCH(20,B4:B29,0),3)</f>
        <v>1769</v>
      </c>
      <c r="F23" s="6">
        <f>INDEX('2kob.'!B3:G28,MATCH(20,B4:B29,0),4)</f>
        <v>-60</v>
      </c>
      <c r="G23" s="42">
        <f>INDEX('2kob.'!B3:G28,MATCH(20,B4:B29,0),5)</f>
        <v>1693</v>
      </c>
      <c r="H23" s="6">
        <f>INDEX('2kob.'!B3:G28,MATCH(20,B4:B29,0),6)</f>
        <v>16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1779</v>
      </c>
      <c r="E24" s="42">
        <f>INDEX('2kob.'!B3:G28,MATCH(21,B4:B29,0),3)</f>
        <v>1828</v>
      </c>
      <c r="F24" s="6">
        <f>INDEX('2kob.'!B3:G28,MATCH(21,B4:B29,0),4)</f>
        <v>-49</v>
      </c>
      <c r="G24" s="42">
        <f>INDEX('2kob.'!B3:G28,MATCH(21,B4:B29,0),5)</f>
        <v>1806</v>
      </c>
      <c r="H24" s="6">
        <f>INDEX('2kob.'!B3:G28,MATCH(21,B4:B29,0),6)</f>
        <v>-27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2137</v>
      </c>
      <c r="E25" s="42">
        <f>INDEX('2kob.'!B3:G28,MATCH(22,B4:B29,0),3)</f>
        <v>2162</v>
      </c>
      <c r="F25" s="6">
        <f>INDEX('2kob.'!B3:G28,MATCH(22,B4:B29,0),4)</f>
        <v>-25</v>
      </c>
      <c r="G25" s="42">
        <f>INDEX('2kob.'!B3:G28,MATCH(22,B4:B29,0),5)</f>
        <v>2175</v>
      </c>
      <c r="H25" s="6">
        <f>INDEX('2kob.'!B3:G28,MATCH(22,B4:B29,0),6)</f>
        <v>-38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2248</v>
      </c>
      <c r="E26" s="42">
        <f>INDEX('2kob.'!B3:G28,MATCH(23,B4:B29,0),3)</f>
        <v>2345</v>
      </c>
      <c r="F26" s="6">
        <f>INDEX('2kob.'!B3:G28,MATCH(23,B4:B29,0),4)</f>
        <v>-97</v>
      </c>
      <c r="G26" s="42">
        <f>INDEX('2kob.'!B3:G28,MATCH(23,B4:B29,0),5)</f>
        <v>2205</v>
      </c>
      <c r="H26" s="6">
        <f>INDEX('2kob.'!B3:G28,MATCH(23,B4:B29,0),6)</f>
        <v>43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2530</v>
      </c>
      <c r="E27" s="42">
        <f>INDEX('2kob.'!B3:G28,MATCH(24,B4:B29,0),3)</f>
        <v>2557</v>
      </c>
      <c r="F27" s="6">
        <f>INDEX('2kob.'!B3:G28,MATCH(24,B4:B29,0),4)</f>
        <v>-27</v>
      </c>
      <c r="G27" s="42">
        <f>INDEX('2kob.'!B3:G28,MATCH(24,B4:B29,0),5)</f>
        <v>2536</v>
      </c>
      <c r="H27" s="6">
        <f>INDEX('2kob.'!B3:G28,MATCH(24,B4:B29,0),6)</f>
        <v>-6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2742</v>
      </c>
      <c r="E28" s="42">
        <f>INDEX('2kob.'!B3:G28,MATCH(25,B4:B29,0),3)</f>
        <v>2803</v>
      </c>
      <c r="F28" s="6">
        <f>INDEX('2kob.'!B3:G28,MATCH(25,B4:B29,0),4)</f>
        <v>-61</v>
      </c>
      <c r="G28" s="42">
        <f>INDEX('2kob.'!B3:G28,MATCH(25,B4:B29,0),5)</f>
        <v>2814</v>
      </c>
      <c r="H28" s="6">
        <f>INDEX('2kob.'!B3:G28,MATCH(25,B4:B29,0),6)</f>
        <v>-72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33327</v>
      </c>
      <c r="E29" s="44">
        <f>INDEX('2kob.'!B3:G28,MATCH(26,B4:B29,0),3)</f>
        <v>34451</v>
      </c>
      <c r="F29" s="40">
        <f>INDEX('2kob.'!B3:G28,MATCH(26,B4:B29,0),4)</f>
        <v>-1124</v>
      </c>
      <c r="G29" s="44">
        <f>INDEX('2kob.'!B3:G28,MATCH(26,B4:B29,0),5)</f>
        <v>33663</v>
      </c>
      <c r="H29" s="40">
        <f>INDEX('2kob.'!B3:G28,MATCH(26,B4:B29,0),6)</f>
        <v>-336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80</v>
      </c>
      <c r="D2" s="38" t="s">
        <v>82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T('1bzr.'!C2)</f>
        <v>liczba bezrobotnych ogółem stan na 30-04-'25 r.</v>
      </c>
      <c r="K2" s="37" t="str">
        <f>T(C2)</f>
        <v>liczba bezrobotnych zam. na wsi stan na 30-04-'25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654</v>
      </c>
      <c r="D3" s="42">
        <v>695</v>
      </c>
      <c r="E3" s="6">
        <f t="shared" ref="E3:E23" si="0">SUM(C3)-D3</f>
        <v>-41</v>
      </c>
      <c r="F3" s="42">
        <v>674</v>
      </c>
      <c r="G3" s="6">
        <f t="shared" ref="G3:G23" si="1">SUM(C3)-F3</f>
        <v>-20</v>
      </c>
      <c r="H3" s="7"/>
      <c r="I3" s="5" t="s">
        <v>0</v>
      </c>
      <c r="J3" s="6">
        <f>SUM('1bzr.'!C3)</f>
        <v>1033</v>
      </c>
      <c r="K3" s="6">
        <f>SUM(C3)</f>
        <v>654</v>
      </c>
      <c r="L3" s="8">
        <f t="shared" ref="L3:L23" si="2">SUM(K3)/J3*100</f>
        <v>63.310745401742494</v>
      </c>
    </row>
    <row r="4" spans="1:12" x14ac:dyDescent="0.2">
      <c r="A4" s="3">
        <v>2</v>
      </c>
      <c r="B4" s="5" t="s">
        <v>1</v>
      </c>
      <c r="C4" s="14">
        <v>3326</v>
      </c>
      <c r="D4" s="42">
        <v>3466</v>
      </c>
      <c r="E4" s="6">
        <f t="shared" si="0"/>
        <v>-140</v>
      </c>
      <c r="F4" s="42">
        <v>3309</v>
      </c>
      <c r="G4" s="6">
        <f t="shared" si="1"/>
        <v>17</v>
      </c>
      <c r="H4" s="7"/>
      <c r="I4" s="5" t="s">
        <v>1</v>
      </c>
      <c r="J4" s="6">
        <f>SUM('1bzr.'!C4)</f>
        <v>3619</v>
      </c>
      <c r="K4" s="6">
        <f t="shared" ref="K4:K22" si="3">SUM(C4)</f>
        <v>3326</v>
      </c>
      <c r="L4" s="8">
        <f t="shared" si="2"/>
        <v>91.903840840011057</v>
      </c>
    </row>
    <row r="5" spans="1:12" x14ac:dyDescent="0.2">
      <c r="A5" s="3">
        <v>3</v>
      </c>
      <c r="B5" s="5" t="s">
        <v>2</v>
      </c>
      <c r="C5" s="15">
        <v>1348</v>
      </c>
      <c r="D5" s="42">
        <v>1450</v>
      </c>
      <c r="E5" s="6">
        <f t="shared" si="0"/>
        <v>-102</v>
      </c>
      <c r="F5" s="42">
        <v>1432</v>
      </c>
      <c r="G5" s="6">
        <f t="shared" si="1"/>
        <v>-84</v>
      </c>
      <c r="H5" s="7"/>
      <c r="I5" s="5" t="s">
        <v>2</v>
      </c>
      <c r="J5" s="6">
        <f>SUM('1bzr.'!C5)</f>
        <v>2265</v>
      </c>
      <c r="K5" s="6">
        <f t="shared" si="3"/>
        <v>1348</v>
      </c>
      <c r="L5" s="8">
        <f t="shared" si="2"/>
        <v>59.51434878587196</v>
      </c>
    </row>
    <row r="6" spans="1:12" x14ac:dyDescent="0.2">
      <c r="A6" s="3">
        <v>4</v>
      </c>
      <c r="B6" s="5" t="s">
        <v>3</v>
      </c>
      <c r="C6" s="15">
        <v>2749</v>
      </c>
      <c r="D6" s="42">
        <v>2874</v>
      </c>
      <c r="E6" s="6">
        <f t="shared" si="0"/>
        <v>-125</v>
      </c>
      <c r="F6" s="42">
        <v>2630</v>
      </c>
      <c r="G6" s="6">
        <f t="shared" si="1"/>
        <v>119</v>
      </c>
      <c r="H6" s="7"/>
      <c r="I6" s="5" t="s">
        <v>3</v>
      </c>
      <c r="J6" s="6">
        <f>SUM('1bzr.'!C6)</f>
        <v>4438</v>
      </c>
      <c r="K6" s="6">
        <f t="shared" si="3"/>
        <v>2749</v>
      </c>
      <c r="L6" s="8">
        <f t="shared" si="2"/>
        <v>61.942316358720142</v>
      </c>
    </row>
    <row r="7" spans="1:12" x14ac:dyDescent="0.2">
      <c r="A7" s="3">
        <v>5</v>
      </c>
      <c r="B7" s="5" t="s">
        <v>4</v>
      </c>
      <c r="C7" s="15">
        <v>3420</v>
      </c>
      <c r="D7" s="42">
        <v>3546</v>
      </c>
      <c r="E7" s="6">
        <f t="shared" si="0"/>
        <v>-126</v>
      </c>
      <c r="F7" s="42">
        <v>3479</v>
      </c>
      <c r="G7" s="6">
        <f t="shared" si="1"/>
        <v>-59</v>
      </c>
      <c r="H7" s="7"/>
      <c r="I7" s="5" t="s">
        <v>4</v>
      </c>
      <c r="J7" s="6">
        <f>SUM('1bzr.'!C7)</f>
        <v>4833</v>
      </c>
      <c r="K7" s="6">
        <f t="shared" si="3"/>
        <v>3420</v>
      </c>
      <c r="L7" s="8">
        <f t="shared" si="2"/>
        <v>70.763500931098704</v>
      </c>
    </row>
    <row r="8" spans="1:12" x14ac:dyDescent="0.2">
      <c r="A8" s="3">
        <v>6</v>
      </c>
      <c r="B8" s="5" t="s">
        <v>5</v>
      </c>
      <c r="C8" s="15">
        <v>1332</v>
      </c>
      <c r="D8" s="42">
        <v>1411</v>
      </c>
      <c r="E8" s="6">
        <f t="shared" si="0"/>
        <v>-79</v>
      </c>
      <c r="F8" s="42">
        <v>1328</v>
      </c>
      <c r="G8" s="6">
        <f t="shared" si="1"/>
        <v>4</v>
      </c>
      <c r="H8" s="7"/>
      <c r="I8" s="5" t="s">
        <v>5</v>
      </c>
      <c r="J8" s="6">
        <f>SUM('1bzr.'!C8)</f>
        <v>1536</v>
      </c>
      <c r="K8" s="6">
        <f t="shared" si="3"/>
        <v>1332</v>
      </c>
      <c r="L8" s="8">
        <f t="shared" si="2"/>
        <v>86.71875</v>
      </c>
    </row>
    <row r="9" spans="1:12" x14ac:dyDescent="0.2">
      <c r="A9" s="3">
        <v>7</v>
      </c>
      <c r="B9" s="9" t="s">
        <v>6</v>
      </c>
      <c r="C9" s="16">
        <v>2181</v>
      </c>
      <c r="D9" s="42">
        <v>2241</v>
      </c>
      <c r="E9" s="6">
        <f t="shared" si="0"/>
        <v>-60</v>
      </c>
      <c r="F9" s="42">
        <v>2074</v>
      </c>
      <c r="G9" s="6">
        <f t="shared" si="1"/>
        <v>107</v>
      </c>
      <c r="H9" s="7"/>
      <c r="I9" s="9" t="s">
        <v>6</v>
      </c>
      <c r="J9" s="6">
        <f>SUM('1bzr.'!C9)</f>
        <v>2409</v>
      </c>
      <c r="K9" s="6">
        <f t="shared" si="3"/>
        <v>2181</v>
      </c>
      <c r="L9" s="8">
        <f t="shared" si="2"/>
        <v>90.535491905354917</v>
      </c>
    </row>
    <row r="10" spans="1:12" x14ac:dyDescent="0.2">
      <c r="A10" s="3">
        <v>8</v>
      </c>
      <c r="B10" s="5" t="s">
        <v>7</v>
      </c>
      <c r="C10" s="17">
        <v>1347</v>
      </c>
      <c r="D10" s="42">
        <v>1408</v>
      </c>
      <c r="E10" s="6">
        <f t="shared" si="0"/>
        <v>-61</v>
      </c>
      <c r="F10" s="42">
        <v>1410</v>
      </c>
      <c r="G10" s="6">
        <f>SUM(C10)-F10</f>
        <v>-63</v>
      </c>
      <c r="H10" s="7"/>
      <c r="I10" s="5" t="s">
        <v>7</v>
      </c>
      <c r="J10" s="6">
        <f>SUM('1bzr.'!C10)</f>
        <v>1635</v>
      </c>
      <c r="K10" s="6">
        <f>SUM(C10)</f>
        <v>1347</v>
      </c>
      <c r="L10" s="8">
        <f t="shared" si="2"/>
        <v>82.385321100917423</v>
      </c>
    </row>
    <row r="11" spans="1:12" x14ac:dyDescent="0.2">
      <c r="A11" s="3">
        <v>9</v>
      </c>
      <c r="B11" s="5" t="s">
        <v>8</v>
      </c>
      <c r="C11" s="17">
        <v>2180</v>
      </c>
      <c r="D11" s="42">
        <v>2295</v>
      </c>
      <c r="E11" s="6">
        <f t="shared" si="0"/>
        <v>-115</v>
      </c>
      <c r="F11" s="42">
        <v>2308</v>
      </c>
      <c r="G11" s="6">
        <f t="shared" si="1"/>
        <v>-128</v>
      </c>
      <c r="H11" s="7"/>
      <c r="I11" s="5" t="s">
        <v>8</v>
      </c>
      <c r="J11" s="6">
        <f>SUM('1bzr.'!C11)</f>
        <v>2865</v>
      </c>
      <c r="K11" s="6">
        <f t="shared" si="3"/>
        <v>2180</v>
      </c>
      <c r="L11" s="8">
        <f t="shared" si="2"/>
        <v>76.090750436300169</v>
      </c>
    </row>
    <row r="12" spans="1:12" x14ac:dyDescent="0.2">
      <c r="A12" s="3">
        <v>10</v>
      </c>
      <c r="B12" s="5" t="s">
        <v>9</v>
      </c>
      <c r="C12" s="17">
        <v>1056</v>
      </c>
      <c r="D12" s="42">
        <v>1115</v>
      </c>
      <c r="E12" s="6">
        <f t="shared" si="0"/>
        <v>-59</v>
      </c>
      <c r="F12" s="42">
        <v>1082</v>
      </c>
      <c r="G12" s="6">
        <f t="shared" si="1"/>
        <v>-26</v>
      </c>
      <c r="H12" s="7"/>
      <c r="I12" s="5" t="s">
        <v>9</v>
      </c>
      <c r="J12" s="6">
        <f>SUM('1bzr.'!C12)</f>
        <v>1603</v>
      </c>
      <c r="K12" s="6">
        <f t="shared" si="3"/>
        <v>1056</v>
      </c>
      <c r="L12" s="8">
        <f t="shared" si="2"/>
        <v>65.876481597005608</v>
      </c>
    </row>
    <row r="13" spans="1:12" x14ac:dyDescent="0.2">
      <c r="A13" s="3">
        <v>11</v>
      </c>
      <c r="B13" s="5" t="s">
        <v>10</v>
      </c>
      <c r="C13" s="17">
        <v>1928</v>
      </c>
      <c r="D13" s="42">
        <v>1979</v>
      </c>
      <c r="E13" s="6">
        <f t="shared" si="0"/>
        <v>-51</v>
      </c>
      <c r="F13" s="42">
        <v>1956</v>
      </c>
      <c r="G13" s="6">
        <f t="shared" si="1"/>
        <v>-28</v>
      </c>
      <c r="H13" s="7"/>
      <c r="I13" s="5" t="s">
        <v>10</v>
      </c>
      <c r="J13" s="6">
        <f>SUM('1bzr.'!C13)</f>
        <v>2469</v>
      </c>
      <c r="K13" s="6">
        <f t="shared" si="3"/>
        <v>1928</v>
      </c>
      <c r="L13" s="8">
        <f t="shared" si="2"/>
        <v>78.08829485621709</v>
      </c>
    </row>
    <row r="14" spans="1:12" x14ac:dyDescent="0.2">
      <c r="A14" s="3">
        <v>12</v>
      </c>
      <c r="B14" s="5" t="s">
        <v>11</v>
      </c>
      <c r="C14" s="17">
        <v>1533</v>
      </c>
      <c r="D14" s="42">
        <v>1573</v>
      </c>
      <c r="E14" s="6">
        <f t="shared" si="0"/>
        <v>-40</v>
      </c>
      <c r="F14" s="42">
        <v>1454</v>
      </c>
      <c r="G14" s="6">
        <f t="shared" si="1"/>
        <v>79</v>
      </c>
      <c r="H14" s="7"/>
      <c r="I14" s="5" t="s">
        <v>11</v>
      </c>
      <c r="J14" s="6">
        <f>SUM('1bzr.'!C14)</f>
        <v>3081</v>
      </c>
      <c r="K14" s="6">
        <f t="shared" si="3"/>
        <v>1533</v>
      </c>
      <c r="L14" s="8">
        <f t="shared" si="2"/>
        <v>49.756572541382667</v>
      </c>
    </row>
    <row r="15" spans="1:12" x14ac:dyDescent="0.2">
      <c r="A15" s="3">
        <v>13</v>
      </c>
      <c r="B15" s="5" t="s">
        <v>12</v>
      </c>
      <c r="C15" s="17">
        <v>1893</v>
      </c>
      <c r="D15" s="42">
        <v>1955</v>
      </c>
      <c r="E15" s="6">
        <f t="shared" si="0"/>
        <v>-62</v>
      </c>
      <c r="F15" s="42">
        <v>1929</v>
      </c>
      <c r="G15" s="6">
        <f t="shared" si="1"/>
        <v>-36</v>
      </c>
      <c r="H15" s="7"/>
      <c r="I15" s="5" t="s">
        <v>12</v>
      </c>
      <c r="J15" s="6">
        <f>SUM('1bzr.'!C15)</f>
        <v>2870</v>
      </c>
      <c r="K15" s="6">
        <f t="shared" si="3"/>
        <v>1893</v>
      </c>
      <c r="L15" s="8">
        <f t="shared" si="2"/>
        <v>65.958188153310104</v>
      </c>
    </row>
    <row r="16" spans="1:12" x14ac:dyDescent="0.2">
      <c r="A16" s="3">
        <v>14</v>
      </c>
      <c r="B16" s="5" t="s">
        <v>13</v>
      </c>
      <c r="C16" s="17">
        <v>2777</v>
      </c>
      <c r="D16" s="42">
        <v>2852</v>
      </c>
      <c r="E16" s="6">
        <f t="shared" si="0"/>
        <v>-75</v>
      </c>
      <c r="F16" s="42">
        <v>2730</v>
      </c>
      <c r="G16" s="6">
        <f t="shared" si="1"/>
        <v>47</v>
      </c>
      <c r="H16" s="7"/>
      <c r="I16" s="5" t="s">
        <v>13</v>
      </c>
      <c r="J16" s="6">
        <f>SUM('1bzr.'!C16)</f>
        <v>2855</v>
      </c>
      <c r="K16" s="6">
        <f t="shared" si="3"/>
        <v>2777</v>
      </c>
      <c r="L16" s="8">
        <f t="shared" si="2"/>
        <v>97.267950963222418</v>
      </c>
    </row>
    <row r="17" spans="1:13" x14ac:dyDescent="0.2">
      <c r="A17" s="3">
        <v>15</v>
      </c>
      <c r="B17" s="5" t="s">
        <v>14</v>
      </c>
      <c r="C17" s="17">
        <v>2476</v>
      </c>
      <c r="D17" s="42">
        <v>2531</v>
      </c>
      <c r="E17" s="6">
        <f t="shared" si="0"/>
        <v>-55</v>
      </c>
      <c r="F17" s="42">
        <v>2345</v>
      </c>
      <c r="G17" s="6">
        <f t="shared" si="1"/>
        <v>131</v>
      </c>
      <c r="H17" s="7"/>
      <c r="I17" s="5" t="s">
        <v>14</v>
      </c>
      <c r="J17" s="6">
        <f>SUM('1bzr.'!C17)</f>
        <v>3322</v>
      </c>
      <c r="K17" s="6">
        <f t="shared" si="3"/>
        <v>2476</v>
      </c>
      <c r="L17" s="8">
        <f t="shared" si="2"/>
        <v>74.533413606261291</v>
      </c>
      <c r="M17" s="10"/>
    </row>
    <row r="18" spans="1:13" x14ac:dyDescent="0.2">
      <c r="A18" s="3">
        <v>16</v>
      </c>
      <c r="B18" s="5" t="s">
        <v>15</v>
      </c>
      <c r="C18" s="17">
        <v>1715</v>
      </c>
      <c r="D18" s="42">
        <v>1766</v>
      </c>
      <c r="E18" s="6">
        <f t="shared" si="0"/>
        <v>-51</v>
      </c>
      <c r="F18" s="42">
        <v>1741</v>
      </c>
      <c r="G18" s="6">
        <f t="shared" si="1"/>
        <v>-26</v>
      </c>
      <c r="H18" s="7"/>
      <c r="I18" s="5" t="s">
        <v>15</v>
      </c>
      <c r="J18" s="6">
        <f>SUM('1bzr.'!C18)</f>
        <v>2661</v>
      </c>
      <c r="K18" s="6">
        <f t="shared" si="3"/>
        <v>1715</v>
      </c>
      <c r="L18" s="8">
        <f t="shared" si="2"/>
        <v>64.44945509207065</v>
      </c>
    </row>
    <row r="19" spans="1:13" x14ac:dyDescent="0.2">
      <c r="A19" s="3">
        <v>17</v>
      </c>
      <c r="B19" s="5" t="s">
        <v>16</v>
      </c>
      <c r="C19" s="17">
        <v>3614</v>
      </c>
      <c r="D19" s="42">
        <v>3635</v>
      </c>
      <c r="E19" s="6">
        <f t="shared" si="0"/>
        <v>-21</v>
      </c>
      <c r="F19" s="42">
        <v>3645</v>
      </c>
      <c r="G19" s="6">
        <f t="shared" si="1"/>
        <v>-31</v>
      </c>
      <c r="H19" s="7"/>
      <c r="I19" s="5" t="s">
        <v>16</v>
      </c>
      <c r="J19" s="6">
        <f>SUM('1bzr.'!C19)</f>
        <v>4600</v>
      </c>
      <c r="K19" s="6">
        <f t="shared" si="3"/>
        <v>3614</v>
      </c>
      <c r="L19" s="8">
        <f t="shared" si="2"/>
        <v>78.565217391304344</v>
      </c>
    </row>
    <row r="20" spans="1:13" x14ac:dyDescent="0.2">
      <c r="A20" s="3">
        <v>18</v>
      </c>
      <c r="B20" s="5" t="s">
        <v>17</v>
      </c>
      <c r="C20" s="17">
        <v>1764</v>
      </c>
      <c r="D20" s="42">
        <v>1835</v>
      </c>
      <c r="E20" s="6">
        <f t="shared" si="0"/>
        <v>-71</v>
      </c>
      <c r="F20" s="42">
        <v>1597</v>
      </c>
      <c r="G20" s="6">
        <f t="shared" si="1"/>
        <v>167</v>
      </c>
      <c r="H20" s="7"/>
      <c r="I20" s="5" t="s">
        <v>17</v>
      </c>
      <c r="J20" s="6">
        <f>SUM('1bzr.'!C20)</f>
        <v>2987</v>
      </c>
      <c r="K20" s="6">
        <f t="shared" si="3"/>
        <v>1764</v>
      </c>
      <c r="L20" s="8">
        <f t="shared" si="2"/>
        <v>59.055908938734511</v>
      </c>
    </row>
    <row r="21" spans="1:13" x14ac:dyDescent="0.2">
      <c r="A21" s="3">
        <v>19</v>
      </c>
      <c r="B21" s="5" t="s">
        <v>18</v>
      </c>
      <c r="C21" s="17">
        <v>852</v>
      </c>
      <c r="D21" s="42">
        <v>897</v>
      </c>
      <c r="E21" s="6">
        <f t="shared" si="0"/>
        <v>-45</v>
      </c>
      <c r="F21" s="42">
        <v>774</v>
      </c>
      <c r="G21" s="6">
        <f t="shared" si="1"/>
        <v>78</v>
      </c>
      <c r="H21" s="7"/>
      <c r="I21" s="5" t="s">
        <v>18</v>
      </c>
      <c r="J21" s="6">
        <f>SUM('1bzr.'!C21)</f>
        <v>2206</v>
      </c>
      <c r="K21" s="6">
        <f t="shared" si="3"/>
        <v>852</v>
      </c>
      <c r="L21" s="8">
        <f t="shared" si="2"/>
        <v>38.621940163191297</v>
      </c>
    </row>
    <row r="22" spans="1:13" x14ac:dyDescent="0.2">
      <c r="A22" s="3">
        <v>20</v>
      </c>
      <c r="B22" s="5" t="s">
        <v>19</v>
      </c>
      <c r="C22" s="17">
        <v>2683</v>
      </c>
      <c r="D22" s="42">
        <v>2771</v>
      </c>
      <c r="E22" s="6">
        <f t="shared" si="0"/>
        <v>-88</v>
      </c>
      <c r="F22" s="42">
        <v>2753</v>
      </c>
      <c r="G22" s="6">
        <f t="shared" si="1"/>
        <v>-70</v>
      </c>
      <c r="H22" s="7"/>
      <c r="I22" s="5" t="s">
        <v>19</v>
      </c>
      <c r="J22" s="6">
        <f>SUM('1bzr.'!C22)</f>
        <v>2996</v>
      </c>
      <c r="K22" s="6">
        <f t="shared" si="3"/>
        <v>2683</v>
      </c>
      <c r="L22" s="8">
        <f t="shared" si="2"/>
        <v>89.552736982643523</v>
      </c>
    </row>
    <row r="23" spans="1:13" x14ac:dyDescent="0.2">
      <c r="A23" s="3">
        <v>21</v>
      </c>
      <c r="B23" s="5" t="s">
        <v>20</v>
      </c>
      <c r="C23" s="17">
        <v>1006</v>
      </c>
      <c r="D23" s="42">
        <v>1028</v>
      </c>
      <c r="E23" s="6">
        <f t="shared" si="0"/>
        <v>-22</v>
      </c>
      <c r="F23" s="42">
        <v>1004</v>
      </c>
      <c r="G23" s="6">
        <f t="shared" si="1"/>
        <v>2</v>
      </c>
      <c r="H23" s="7"/>
      <c r="I23" s="5" t="s">
        <v>20</v>
      </c>
      <c r="J23" s="6">
        <f>SUM('1bzr.'!C23)</f>
        <v>1222</v>
      </c>
      <c r="K23" s="6">
        <f>SUM(C23)</f>
        <v>1006</v>
      </c>
      <c r="L23" s="8">
        <f t="shared" si="2"/>
        <v>82.324058919803605</v>
      </c>
    </row>
    <row r="24" spans="1:13" ht="15" x14ac:dyDescent="0.25">
      <c r="A24" s="3">
        <v>22</v>
      </c>
      <c r="B24" s="39" t="s">
        <v>25</v>
      </c>
      <c r="C24" s="40">
        <f>SUM(C3:C23)</f>
        <v>41834</v>
      </c>
      <c r="D24" s="44">
        <f>SUM(D3:D23)</f>
        <v>43323</v>
      </c>
      <c r="E24" s="40">
        <f>SUM(E3:E23)</f>
        <v>-1489</v>
      </c>
      <c r="F24" s="44">
        <f>SUM(F3:F23)</f>
        <v>41654</v>
      </c>
      <c r="G24" s="40">
        <f>SUM(G3:G23)</f>
        <v>180</v>
      </c>
      <c r="H24" s="7"/>
      <c r="I24" s="5" t="s">
        <v>21</v>
      </c>
      <c r="J24" s="6">
        <f>SUM('1bzr.'!C24)</f>
        <v>864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2319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5107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1013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66808</v>
      </c>
      <c r="K28" s="40">
        <f>SUM(K3:K23)</f>
        <v>41834</v>
      </c>
      <c r="L28" s="46">
        <f>SUM(K28)/J28*100</f>
        <v>62.618249311459707</v>
      </c>
    </row>
    <row r="30" spans="1:13" x14ac:dyDescent="0.2">
      <c r="K30" s="19">
        <f>SUM(K28-J28)</f>
        <v>-24974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30-04-'25 r.</v>
      </c>
      <c r="E3" s="36" t="str">
        <f>T('3bezr. na wsi'!D2)</f>
        <v>liczba bezrobotnych zam. na wsi stan na 31-03-'25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30-04-'24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654</v>
      </c>
      <c r="E4" s="42">
        <f>INDEX('3bezr. na wsi'!B3:G28,MATCH(1,B4:B25,0),3)</f>
        <v>695</v>
      </c>
      <c r="F4" s="6">
        <f>INDEX('3bezr. na wsi'!B3:G28,MATCH(1,B4:B25,0),4)</f>
        <v>-41</v>
      </c>
      <c r="G4" s="42">
        <f>INDEX('3bezr. na wsi'!B3:G28,MATCH(1,B4:B25,0),5)</f>
        <v>674</v>
      </c>
      <c r="H4" s="6">
        <f>INDEX('3bezr. na wsi'!B3:G28,MATCH(1,B4:B25,0),6)</f>
        <v>-20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852</v>
      </c>
      <c r="E5" s="42">
        <f>INDEX('3bezr. na wsi'!B3:G28,MATCH(2,B4:B25,0),3)</f>
        <v>897</v>
      </c>
      <c r="F5" s="6">
        <f>INDEX('3bezr. na wsi'!B3:G28,MATCH(2,B4:B25,0),4)</f>
        <v>-45</v>
      </c>
      <c r="G5" s="42">
        <f>INDEX('3bezr. na wsi'!B3:G28,MATCH(2,B4:B25,0),5)</f>
        <v>774</v>
      </c>
      <c r="H5" s="6">
        <f>INDEX('3bezr. na wsi'!B3:G28,MATCH(2,B4:B25,0),6)</f>
        <v>78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1006</v>
      </c>
      <c r="E6" s="42">
        <f>INDEX('3bezr. na wsi'!B3:G28,MATCH(3,B4:B25,0),3)</f>
        <v>1028</v>
      </c>
      <c r="F6" s="6">
        <f>INDEX('3bezr. na wsi'!B3:G28,MATCH(3,B4:B25,0),4)</f>
        <v>-22</v>
      </c>
      <c r="G6" s="42">
        <f>INDEX('3bezr. na wsi'!B3:G28,MATCH(3,B4:B25,0),5)</f>
        <v>1004</v>
      </c>
      <c r="H6" s="6">
        <f>INDEX('3bezr. na wsi'!B3:G28,MATCH(3,B4:B25,0),6)</f>
        <v>2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1056</v>
      </c>
      <c r="E7" s="42">
        <f>INDEX('3bezr. na wsi'!B3:G28,MATCH(4,B4:B25,0),3)</f>
        <v>1115</v>
      </c>
      <c r="F7" s="6">
        <f>INDEX('3bezr. na wsi'!B3:G28,MATCH(4,B4:B25,0),4)</f>
        <v>-59</v>
      </c>
      <c r="G7" s="42">
        <f>INDEX('3bezr. na wsi'!B3:G28,MATCH(4,B4:B25,0),5)</f>
        <v>1082</v>
      </c>
      <c r="H7" s="6">
        <f>INDEX('3bezr. na wsi'!B3:G28,MATCH(4,B4:B25,0),6)</f>
        <v>-26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1332</v>
      </c>
      <c r="E8" s="42">
        <f>INDEX('3bezr. na wsi'!B3:G28,MATCH(5,B4:B25,0),3)</f>
        <v>1411</v>
      </c>
      <c r="F8" s="6">
        <f>INDEX('3bezr. na wsi'!B3:G28,MATCH(5,B4:B25,0),4)</f>
        <v>-79</v>
      </c>
      <c r="G8" s="42">
        <f>INDEX('3bezr. na wsi'!B3:G28,MATCH(5,B4:B25,0),5)</f>
        <v>1328</v>
      </c>
      <c r="H8" s="6">
        <f>INDEX('3bezr. na wsi'!B3:G28,MATCH(5,B4:B25,0),6)</f>
        <v>4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1347</v>
      </c>
      <c r="E9" s="42">
        <f>INDEX('3bezr. na wsi'!B3:G28,MATCH(6,B4:B25,0),3)</f>
        <v>1408</v>
      </c>
      <c r="F9" s="6">
        <f>INDEX('3bezr. na wsi'!B3:G28,MATCH(6,B4:B25,0),4)</f>
        <v>-61</v>
      </c>
      <c r="G9" s="42">
        <f>INDEX('3bezr. na wsi'!B3:G28,MATCH(6,B4:B25,0),5)</f>
        <v>1410</v>
      </c>
      <c r="H9" s="6">
        <f>INDEX('3bezr. na wsi'!B3:G28,MATCH(6,B4:B25,0),6)</f>
        <v>-63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1348</v>
      </c>
      <c r="E10" s="42">
        <f>INDEX('3bezr. na wsi'!B3:G28,MATCH(7,B4:B25,0),3)</f>
        <v>1450</v>
      </c>
      <c r="F10" s="6">
        <f>INDEX('3bezr. na wsi'!B3:G28,MATCH(7,B4:B25,0),4)</f>
        <v>-102</v>
      </c>
      <c r="G10" s="42">
        <f>INDEX('3bezr. na wsi'!B3:G28,MATCH(7,B4:B25,0),5)</f>
        <v>1432</v>
      </c>
      <c r="H10" s="6">
        <f>INDEX('3bezr. na wsi'!B3:G28,MATCH(7,B4:B25,0),6)</f>
        <v>-84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1533</v>
      </c>
      <c r="E11" s="42">
        <f>INDEX('3bezr. na wsi'!B3:G28,MATCH(8,B4:B25,0),3)</f>
        <v>1573</v>
      </c>
      <c r="F11" s="6">
        <f>INDEX('3bezr. na wsi'!B3:G28,MATCH(8,B4:B25,0),4)</f>
        <v>-40</v>
      </c>
      <c r="G11" s="42">
        <f>INDEX('3bezr. na wsi'!B3:G28,MATCH(8,B4:B25,0),5)</f>
        <v>1454</v>
      </c>
      <c r="H11" s="6">
        <f>INDEX('3bezr. na wsi'!B3:G28,MATCH(8,B4:B25,0),6)</f>
        <v>79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ropczycko-sędziszowski</v>
      </c>
      <c r="D12" s="6">
        <f>INDEX('3bezr. na wsi'!B3:G28,MATCH(9,B4:B25,0),2)</f>
        <v>1715</v>
      </c>
      <c r="E12" s="42">
        <f>INDEX('3bezr. na wsi'!B3:G28,MATCH(9,B4:B25,0),3)</f>
        <v>1766</v>
      </c>
      <c r="F12" s="6">
        <f>INDEX('3bezr. na wsi'!B3:G28,MATCH(9,B4:B25,0),4)</f>
        <v>-51</v>
      </c>
      <c r="G12" s="42">
        <f>INDEX('3bezr. na wsi'!B3:G28,MATCH(9,B4:B25,0),5)</f>
        <v>1741</v>
      </c>
      <c r="H12" s="6">
        <f>INDEX('3bezr. na wsi'!B3:G28,MATCH(9,B4:B25,0),6)</f>
        <v>-26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sanocki</v>
      </c>
      <c r="D13" s="6">
        <f>INDEX('3bezr. na wsi'!B3:G28,MATCH(10,B4:B25,0),2)</f>
        <v>1764</v>
      </c>
      <c r="E13" s="42">
        <f>INDEX('3bezr. na wsi'!B3:G28,MATCH(10,B4:B25,0),3)</f>
        <v>1835</v>
      </c>
      <c r="F13" s="6">
        <f>INDEX('3bezr. na wsi'!B3:G28,MATCH(10,B4:B25,0),4)</f>
        <v>-71</v>
      </c>
      <c r="G13" s="42">
        <f>INDEX('3bezr. na wsi'!B3:G28,MATCH(10,B4:B25,0),5)</f>
        <v>1597</v>
      </c>
      <c r="H13" s="6">
        <f>INDEX('3bezr. na wsi'!B3:G28,MATCH(10,B4:B25,0),6)</f>
        <v>167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1893</v>
      </c>
      <c r="E14" s="42">
        <f>INDEX('3bezr. na wsi'!B3:G28,MATCH(11,B4:B25,0),3)</f>
        <v>1955</v>
      </c>
      <c r="F14" s="6">
        <f>INDEX('3bezr. na wsi'!B3:G28,MATCH(11,B4:B25,0),4)</f>
        <v>-62</v>
      </c>
      <c r="G14" s="42">
        <f>INDEX('3bezr. na wsi'!B3:G28,MATCH(11,B4:B25,0),5)</f>
        <v>1929</v>
      </c>
      <c r="H14" s="6">
        <f>INDEX('3bezr. na wsi'!B3:G28,MATCH(11,B4:B25,0),6)</f>
        <v>-36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1928</v>
      </c>
      <c r="E15" s="42">
        <f>INDEX('3bezr. na wsi'!B3:G28,MATCH(12,B4:B25,0),3)</f>
        <v>1979</v>
      </c>
      <c r="F15" s="6">
        <f>INDEX('3bezr. na wsi'!B3:G28,MATCH(12,B4:B25,0),4)</f>
        <v>-51</v>
      </c>
      <c r="G15" s="42">
        <f>INDEX('3bezr. na wsi'!B3:G28,MATCH(12,B4:B25,0),5)</f>
        <v>1956</v>
      </c>
      <c r="H15" s="6">
        <f>INDEX('3bezr. na wsi'!B3:G28,MATCH(12,B4:B25,0),6)</f>
        <v>-28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2180</v>
      </c>
      <c r="E16" s="42">
        <f>INDEX('3bezr. na wsi'!B3:G28,MATCH(13,B4:B25,0),3)</f>
        <v>2295</v>
      </c>
      <c r="F16" s="6">
        <f>INDEX('3bezr. na wsi'!B3:G28,MATCH(13,B4:B25,0),4)</f>
        <v>-115</v>
      </c>
      <c r="G16" s="42">
        <f>INDEX('3bezr. na wsi'!B3:G28,MATCH(13,B4:B25,0),5)</f>
        <v>2308</v>
      </c>
      <c r="H16" s="6">
        <f>INDEX('3bezr. na wsi'!B3:G28,MATCH(13,B4:B25,0),6)</f>
        <v>-128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2181</v>
      </c>
      <c r="E17" s="42">
        <f>INDEX('3bezr. na wsi'!B3:G28,MATCH(14,B4:B25,0),3)</f>
        <v>2241</v>
      </c>
      <c r="F17" s="6">
        <f>INDEX('3bezr. na wsi'!B3:G28,MATCH(14,B4:B25,0),4)</f>
        <v>-60</v>
      </c>
      <c r="G17" s="42">
        <f>INDEX('3bezr. na wsi'!B3:G28,MATCH(14,B4:B25,0),5)</f>
        <v>2074</v>
      </c>
      <c r="H17" s="6">
        <f>INDEX('3bezr. na wsi'!B3:G28,MATCH(14,B4:B25,0),6)</f>
        <v>107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2476</v>
      </c>
      <c r="E18" s="42">
        <f>INDEX('3bezr. na wsi'!B3:G28,MATCH(15,B4:B25,0),3)</f>
        <v>2531</v>
      </c>
      <c r="F18" s="6">
        <f>INDEX('3bezr. na wsi'!B3:G28,MATCH(15,B4:B25,0),4)</f>
        <v>-55</v>
      </c>
      <c r="G18" s="42">
        <f>INDEX('3bezr. na wsi'!B3:G28,MATCH(15,B4:B25,0),5)</f>
        <v>2345</v>
      </c>
      <c r="H18" s="6">
        <f>INDEX('3bezr. na wsi'!B3:G28,MATCH(15,B4:B25,0),6)</f>
        <v>131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9</v>
      </c>
      <c r="C19" s="5" t="str">
        <f>INDEX('3bezr. na wsi'!B3:G28,MATCH(16,B4:B25,0),1)</f>
        <v>strzyżowski</v>
      </c>
      <c r="D19" s="6">
        <f>INDEX('3bezr. na wsi'!B3:G28,MATCH(16,B4:B25,0),2)</f>
        <v>2683</v>
      </c>
      <c r="E19" s="42">
        <f>INDEX('3bezr. na wsi'!B3:G28,MATCH(16,B4:B25,0),3)</f>
        <v>2771</v>
      </c>
      <c r="F19" s="6">
        <f>INDEX('3bezr. na wsi'!B3:G28,MATCH(16,B4:B25,0),4)</f>
        <v>-88</v>
      </c>
      <c r="G19" s="42">
        <f>INDEX('3bezr. na wsi'!B3:G28,MATCH(16,B4:B25,0),5)</f>
        <v>2753</v>
      </c>
      <c r="H19" s="6">
        <f>INDEX('3bezr. na wsi'!B3:G28,MATCH(16,B4:B25,0),6)</f>
        <v>-70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2749</v>
      </c>
      <c r="E20" s="42">
        <f>INDEX('3bezr. na wsi'!B3:G28,MATCH(17,B4:B25,0),3)</f>
        <v>2874</v>
      </c>
      <c r="F20" s="6">
        <f>INDEX('3bezr. na wsi'!B3:G28,MATCH(17,B4:B25,0),4)</f>
        <v>-125</v>
      </c>
      <c r="G20" s="42">
        <f>INDEX('3bezr. na wsi'!B3:G28,MATCH(17,B4:B25,0),5)</f>
        <v>2630</v>
      </c>
      <c r="H20" s="6">
        <f>INDEX('3bezr. na wsi'!B3:G28,MATCH(17,B4:B25,0),6)</f>
        <v>119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10</v>
      </c>
      <c r="C21" s="5" t="str">
        <f>INDEX('3bezr. na wsi'!B3:G28,MATCH(18,B4:B25,0),1)</f>
        <v>przemyski</v>
      </c>
      <c r="D21" s="6">
        <f>INDEX('3bezr. na wsi'!B3:G28,MATCH(18,B4:B25,0),2)</f>
        <v>2777</v>
      </c>
      <c r="E21" s="42">
        <f>INDEX('3bezr. na wsi'!B3:G28,MATCH(18,B4:B25,0),3)</f>
        <v>2852</v>
      </c>
      <c r="F21" s="6">
        <f>INDEX('3bezr. na wsi'!B3:G28,MATCH(18,B4:B25,0),4)</f>
        <v>-75</v>
      </c>
      <c r="G21" s="42">
        <f>INDEX('3bezr. na wsi'!B3:G28,MATCH(18,B4:B25,0),5)</f>
        <v>2730</v>
      </c>
      <c r="H21" s="6">
        <f>INDEX('3bezr. na wsi'!B3:G28,MATCH(18,B4:B25,0),6)</f>
        <v>47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3326</v>
      </c>
      <c r="E22" s="42">
        <f>INDEX('3bezr. na wsi'!B3:G28,MATCH(19,B4:B25,0),3)</f>
        <v>3466</v>
      </c>
      <c r="F22" s="6">
        <f>INDEX('3bezr. na wsi'!B3:G28,MATCH(19,B4:B25,0),4)</f>
        <v>-140</v>
      </c>
      <c r="G22" s="42">
        <f>INDEX('3bezr. na wsi'!B3:G28,MATCH(19,B4:B25,0),5)</f>
        <v>3309</v>
      </c>
      <c r="H22" s="6">
        <f>INDEX('3bezr. na wsi'!B3:G28,MATCH(19,B4:B25,0),6)</f>
        <v>17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3420</v>
      </c>
      <c r="E23" s="42">
        <f>INDEX('3bezr. na wsi'!B3:G28,MATCH(20,B4:B25,0),3)</f>
        <v>3546</v>
      </c>
      <c r="F23" s="6">
        <f>INDEX('3bezr. na wsi'!B3:G28,MATCH(20,B4:B25,0),4)</f>
        <v>-126</v>
      </c>
      <c r="G23" s="42">
        <f>INDEX('3bezr. na wsi'!B3:G28,MATCH(20,B4:B25,0),5)</f>
        <v>3479</v>
      </c>
      <c r="H23" s="6">
        <f>INDEX('3bezr. na wsi'!B3:G28,MATCH(20,B4:B25,0),6)</f>
        <v>-59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3614</v>
      </c>
      <c r="E24" s="42">
        <f>INDEX('3bezr. na wsi'!B3:G28,MATCH(21,B4:B25,0),3)</f>
        <v>3635</v>
      </c>
      <c r="F24" s="6">
        <f>INDEX('3bezr. na wsi'!B3:G28,MATCH(21,B4:B25,0),4)</f>
        <v>-21</v>
      </c>
      <c r="G24" s="42">
        <f>INDEX('3bezr. na wsi'!B3:G28,MATCH(21,B4:B25,0),5)</f>
        <v>3645</v>
      </c>
      <c r="H24" s="6">
        <f>INDEX('3bezr. na wsi'!B3:G28,MATCH(21,B4:B25,0),6)</f>
        <v>-31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41834</v>
      </c>
      <c r="E25" s="44">
        <f>INDEX('3bezr. na wsi'!B3:G28,MATCH(22,B4:B25,0),3)</f>
        <v>43323</v>
      </c>
      <c r="F25" s="40">
        <f>INDEX('3bezr. na wsi'!B3:G28,MATCH(22,B4:B25,0),4)</f>
        <v>-1489</v>
      </c>
      <c r="G25" s="44">
        <f>INDEX('3bezr. na wsi'!B3:G28,MATCH(22,B4:B25,0),5)</f>
        <v>41654</v>
      </c>
      <c r="H25" s="40">
        <f>INDEX('3bezr. na wsi'!B3:G28,MATCH(22,B4:B25,0),6)</f>
        <v>180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</row>
    <row r="3" spans="2:8" x14ac:dyDescent="0.2">
      <c r="B3" s="5" t="s">
        <v>0</v>
      </c>
      <c r="C3" s="6">
        <v>639</v>
      </c>
      <c r="D3" s="42">
        <v>657</v>
      </c>
      <c r="E3" s="6">
        <f t="shared" ref="E3:E26" si="0">SUM(C3)-D3</f>
        <v>-18</v>
      </c>
      <c r="F3" s="42">
        <v>605</v>
      </c>
      <c r="G3" s="6">
        <f t="shared" ref="G3:G27" si="1">SUM(C3)-F3</f>
        <v>34</v>
      </c>
      <c r="H3" s="7"/>
    </row>
    <row r="4" spans="2:8" x14ac:dyDescent="0.2">
      <c r="B4" s="5" t="s">
        <v>1</v>
      </c>
      <c r="C4" s="6">
        <v>2326</v>
      </c>
      <c r="D4" s="42">
        <v>2405</v>
      </c>
      <c r="E4" s="6">
        <f t="shared" si="0"/>
        <v>-79</v>
      </c>
      <c r="F4" s="42">
        <v>2382</v>
      </c>
      <c r="G4" s="6">
        <f t="shared" si="1"/>
        <v>-56</v>
      </c>
      <c r="H4" s="7"/>
    </row>
    <row r="5" spans="2:8" x14ac:dyDescent="0.2">
      <c r="B5" s="5" t="s">
        <v>2</v>
      </c>
      <c r="C5" s="6">
        <v>942</v>
      </c>
      <c r="D5" s="42">
        <v>972</v>
      </c>
      <c r="E5" s="6">
        <f t="shared" si="0"/>
        <v>-30</v>
      </c>
      <c r="F5" s="42">
        <v>980</v>
      </c>
      <c r="G5" s="6">
        <f t="shared" si="1"/>
        <v>-38</v>
      </c>
      <c r="H5" s="7"/>
    </row>
    <row r="6" spans="2:8" x14ac:dyDescent="0.2">
      <c r="B6" s="5" t="s">
        <v>3</v>
      </c>
      <c r="C6" s="6">
        <v>2436</v>
      </c>
      <c r="D6" s="42">
        <v>2456</v>
      </c>
      <c r="E6" s="6">
        <f t="shared" si="0"/>
        <v>-20</v>
      </c>
      <c r="F6" s="42">
        <v>2465</v>
      </c>
      <c r="G6" s="6">
        <f t="shared" si="1"/>
        <v>-29</v>
      </c>
      <c r="H6" s="7"/>
    </row>
    <row r="7" spans="2:8" x14ac:dyDescent="0.2">
      <c r="B7" s="5" t="s">
        <v>4</v>
      </c>
      <c r="C7" s="6">
        <v>2942</v>
      </c>
      <c r="D7" s="42">
        <v>3031</v>
      </c>
      <c r="E7" s="6">
        <f t="shared" si="0"/>
        <v>-89</v>
      </c>
      <c r="F7" s="42">
        <v>3010</v>
      </c>
      <c r="G7" s="6">
        <f t="shared" si="1"/>
        <v>-68</v>
      </c>
      <c r="H7" s="7"/>
    </row>
    <row r="8" spans="2:8" x14ac:dyDescent="0.2">
      <c r="B8" s="5" t="s">
        <v>5</v>
      </c>
      <c r="C8" s="6">
        <v>762</v>
      </c>
      <c r="D8" s="42">
        <v>776</v>
      </c>
      <c r="E8" s="6">
        <f t="shared" si="0"/>
        <v>-14</v>
      </c>
      <c r="F8" s="42">
        <v>728</v>
      </c>
      <c r="G8" s="6">
        <f t="shared" si="1"/>
        <v>34</v>
      </c>
      <c r="H8" s="7"/>
    </row>
    <row r="9" spans="2:8" x14ac:dyDescent="0.2">
      <c r="B9" s="9" t="s">
        <v>6</v>
      </c>
      <c r="C9" s="6">
        <v>1069</v>
      </c>
      <c r="D9" s="42">
        <v>1058</v>
      </c>
      <c r="E9" s="6">
        <f t="shared" si="0"/>
        <v>11</v>
      </c>
      <c r="F9" s="42">
        <v>1001</v>
      </c>
      <c r="G9" s="6">
        <f t="shared" si="1"/>
        <v>68</v>
      </c>
      <c r="H9" s="7"/>
    </row>
    <row r="10" spans="2:8" x14ac:dyDescent="0.2">
      <c r="B10" s="5" t="s">
        <v>7</v>
      </c>
      <c r="C10" s="6">
        <v>1042</v>
      </c>
      <c r="D10" s="42">
        <v>1069</v>
      </c>
      <c r="E10" s="6">
        <f t="shared" si="0"/>
        <v>-27</v>
      </c>
      <c r="F10" s="42">
        <v>1081</v>
      </c>
      <c r="G10" s="6">
        <f t="shared" si="1"/>
        <v>-39</v>
      </c>
      <c r="H10" s="7"/>
    </row>
    <row r="11" spans="2:8" x14ac:dyDescent="0.2">
      <c r="B11" s="5" t="s">
        <v>8</v>
      </c>
      <c r="C11" s="6">
        <v>1688</v>
      </c>
      <c r="D11" s="42">
        <v>1732</v>
      </c>
      <c r="E11" s="6">
        <f t="shared" si="0"/>
        <v>-44</v>
      </c>
      <c r="F11" s="42">
        <v>1694</v>
      </c>
      <c r="G11" s="6">
        <f t="shared" si="1"/>
        <v>-6</v>
      </c>
      <c r="H11" s="7"/>
    </row>
    <row r="12" spans="2:8" x14ac:dyDescent="0.2">
      <c r="B12" s="5" t="s">
        <v>9</v>
      </c>
      <c r="C12" s="6">
        <v>840</v>
      </c>
      <c r="D12" s="42">
        <v>901</v>
      </c>
      <c r="E12" s="6">
        <f t="shared" si="0"/>
        <v>-61</v>
      </c>
      <c r="F12" s="42">
        <v>878</v>
      </c>
      <c r="G12" s="6">
        <f t="shared" si="1"/>
        <v>-38</v>
      </c>
      <c r="H12" s="7"/>
    </row>
    <row r="13" spans="2:8" x14ac:dyDescent="0.2">
      <c r="B13" s="5" t="s">
        <v>10</v>
      </c>
      <c r="C13" s="6">
        <v>1188</v>
      </c>
      <c r="D13" s="42">
        <v>1221</v>
      </c>
      <c r="E13" s="6">
        <f t="shared" si="0"/>
        <v>-33</v>
      </c>
      <c r="F13" s="42">
        <v>1216</v>
      </c>
      <c r="G13" s="6">
        <f t="shared" si="1"/>
        <v>-28</v>
      </c>
      <c r="H13" s="7"/>
    </row>
    <row r="14" spans="2:8" x14ac:dyDescent="0.2">
      <c r="B14" s="5" t="s">
        <v>11</v>
      </c>
      <c r="C14" s="6">
        <v>1517</v>
      </c>
      <c r="D14" s="42">
        <v>1551</v>
      </c>
      <c r="E14" s="6">
        <f t="shared" si="0"/>
        <v>-34</v>
      </c>
      <c r="F14" s="42">
        <v>1360</v>
      </c>
      <c r="G14" s="6">
        <f t="shared" si="1"/>
        <v>157</v>
      </c>
      <c r="H14" s="7"/>
    </row>
    <row r="15" spans="2:8" x14ac:dyDescent="0.2">
      <c r="B15" s="5" t="s">
        <v>12</v>
      </c>
      <c r="C15" s="6">
        <v>1649</v>
      </c>
      <c r="D15" s="42">
        <v>1695</v>
      </c>
      <c r="E15" s="6">
        <f t="shared" si="0"/>
        <v>-46</v>
      </c>
      <c r="F15" s="42">
        <v>1661</v>
      </c>
      <c r="G15" s="6">
        <f t="shared" si="1"/>
        <v>-12</v>
      </c>
      <c r="H15" s="7"/>
    </row>
    <row r="16" spans="2:8" x14ac:dyDescent="0.2">
      <c r="B16" s="5" t="s">
        <v>13</v>
      </c>
      <c r="C16" s="6">
        <v>1640</v>
      </c>
      <c r="D16" s="42">
        <v>1666</v>
      </c>
      <c r="E16" s="6">
        <f t="shared" si="0"/>
        <v>-26</v>
      </c>
      <c r="F16" s="42">
        <v>1640</v>
      </c>
      <c r="G16" s="6">
        <f t="shared" si="1"/>
        <v>0</v>
      </c>
      <c r="H16" s="7"/>
    </row>
    <row r="17" spans="2:8" x14ac:dyDescent="0.2">
      <c r="B17" s="5" t="s">
        <v>14</v>
      </c>
      <c r="C17" s="6">
        <v>1960</v>
      </c>
      <c r="D17" s="42">
        <v>1970</v>
      </c>
      <c r="E17" s="6">
        <f t="shared" si="0"/>
        <v>-10</v>
      </c>
      <c r="F17" s="42">
        <v>1925</v>
      </c>
      <c r="G17" s="6">
        <f t="shared" si="1"/>
        <v>35</v>
      </c>
      <c r="H17" s="7"/>
    </row>
    <row r="18" spans="2:8" x14ac:dyDescent="0.2">
      <c r="B18" s="5" t="s">
        <v>15</v>
      </c>
      <c r="C18" s="6">
        <v>1445</v>
      </c>
      <c r="D18" s="42">
        <v>1415</v>
      </c>
      <c r="E18" s="6">
        <f t="shared" si="0"/>
        <v>30</v>
      </c>
      <c r="F18" s="42">
        <v>1324</v>
      </c>
      <c r="G18" s="6">
        <f t="shared" si="1"/>
        <v>121</v>
      </c>
      <c r="H18" s="7"/>
    </row>
    <row r="19" spans="2:8" x14ac:dyDescent="0.2">
      <c r="B19" s="5" t="s">
        <v>16</v>
      </c>
      <c r="C19" s="6">
        <v>2540</v>
      </c>
      <c r="D19" s="42">
        <v>2560</v>
      </c>
      <c r="E19" s="6">
        <f t="shared" si="0"/>
        <v>-20</v>
      </c>
      <c r="F19" s="42">
        <v>2585</v>
      </c>
      <c r="G19" s="6">
        <f t="shared" si="1"/>
        <v>-45</v>
      </c>
      <c r="H19" s="7"/>
    </row>
    <row r="20" spans="2:8" x14ac:dyDescent="0.2">
      <c r="B20" s="5" t="s">
        <v>17</v>
      </c>
      <c r="C20" s="6">
        <v>1570</v>
      </c>
      <c r="D20" s="42">
        <v>1592</v>
      </c>
      <c r="E20" s="6">
        <f t="shared" si="0"/>
        <v>-22</v>
      </c>
      <c r="F20" s="42">
        <v>1466</v>
      </c>
      <c r="G20" s="6">
        <f t="shared" si="1"/>
        <v>104</v>
      </c>
      <c r="H20" s="7"/>
    </row>
    <row r="21" spans="2:8" x14ac:dyDescent="0.2">
      <c r="B21" s="5" t="s">
        <v>18</v>
      </c>
      <c r="C21" s="6">
        <v>930</v>
      </c>
      <c r="D21" s="42">
        <v>969</v>
      </c>
      <c r="E21" s="6">
        <f t="shared" si="0"/>
        <v>-39</v>
      </c>
      <c r="F21" s="42">
        <v>791</v>
      </c>
      <c r="G21" s="6">
        <f t="shared" si="1"/>
        <v>139</v>
      </c>
      <c r="H21" s="7"/>
    </row>
    <row r="22" spans="2:8" x14ac:dyDescent="0.2">
      <c r="B22" s="5" t="s">
        <v>19</v>
      </c>
      <c r="C22" s="6">
        <v>1850</v>
      </c>
      <c r="D22" s="42">
        <v>1929</v>
      </c>
      <c r="E22" s="6">
        <f t="shared" si="0"/>
        <v>-79</v>
      </c>
      <c r="F22" s="42">
        <v>1904</v>
      </c>
      <c r="G22" s="6">
        <f t="shared" si="1"/>
        <v>-54</v>
      </c>
      <c r="H22" s="7"/>
    </row>
    <row r="23" spans="2:8" x14ac:dyDescent="0.2">
      <c r="B23" s="5" t="s">
        <v>20</v>
      </c>
      <c r="C23" s="6">
        <v>613</v>
      </c>
      <c r="D23" s="42">
        <v>625</v>
      </c>
      <c r="E23" s="6">
        <f t="shared" si="0"/>
        <v>-12</v>
      </c>
      <c r="F23" s="42">
        <v>633</v>
      </c>
      <c r="G23" s="6">
        <f t="shared" si="1"/>
        <v>-20</v>
      </c>
      <c r="H23" s="7"/>
    </row>
    <row r="24" spans="2:8" x14ac:dyDescent="0.2">
      <c r="B24" s="5" t="s">
        <v>21</v>
      </c>
      <c r="C24" s="6">
        <v>347</v>
      </c>
      <c r="D24" s="42">
        <v>346</v>
      </c>
      <c r="E24" s="6">
        <f t="shared" si="0"/>
        <v>1</v>
      </c>
      <c r="F24" s="42">
        <v>336</v>
      </c>
      <c r="G24" s="6">
        <f t="shared" si="1"/>
        <v>11</v>
      </c>
      <c r="H24" s="7"/>
    </row>
    <row r="25" spans="2:8" x14ac:dyDescent="0.2">
      <c r="B25" s="5" t="s">
        <v>22</v>
      </c>
      <c r="C25" s="26">
        <v>1443</v>
      </c>
      <c r="D25" s="42">
        <v>1472</v>
      </c>
      <c r="E25" s="26">
        <f t="shared" si="0"/>
        <v>-29</v>
      </c>
      <c r="F25" s="42">
        <v>1471</v>
      </c>
      <c r="G25" s="6">
        <f t="shared" si="1"/>
        <v>-28</v>
      </c>
      <c r="H25" s="7"/>
    </row>
    <row r="26" spans="2:8" x14ac:dyDescent="0.2">
      <c r="B26" s="5" t="s">
        <v>23</v>
      </c>
      <c r="C26" s="26">
        <v>2885</v>
      </c>
      <c r="D26" s="42">
        <v>2869</v>
      </c>
      <c r="E26" s="26">
        <f t="shared" si="0"/>
        <v>16</v>
      </c>
      <c r="F26" s="42">
        <v>3032</v>
      </c>
      <c r="G26" s="6">
        <f t="shared" si="1"/>
        <v>-147</v>
      </c>
      <c r="H26" s="7"/>
    </row>
    <row r="27" spans="2:8" x14ac:dyDescent="0.2">
      <c r="B27" s="5" t="s">
        <v>24</v>
      </c>
      <c r="C27" s="26">
        <v>532</v>
      </c>
      <c r="D27" s="42">
        <v>542</v>
      </c>
      <c r="E27" s="26">
        <f>SUM(C27)-D27</f>
        <v>-10</v>
      </c>
      <c r="F27" s="42">
        <v>554</v>
      </c>
      <c r="G27" s="6">
        <f t="shared" si="1"/>
        <v>-22</v>
      </c>
      <c r="H27" s="7"/>
    </row>
    <row r="28" spans="2:8" ht="15" x14ac:dyDescent="0.25">
      <c r="B28" s="39" t="s">
        <v>25</v>
      </c>
      <c r="C28" s="40">
        <f>SUM(C3:C27)</f>
        <v>36795</v>
      </c>
      <c r="D28" s="41">
        <f>SUM(D3:D27)</f>
        <v>37479</v>
      </c>
      <c r="E28" s="40">
        <f>SUM(E3:E27)</f>
        <v>-684</v>
      </c>
      <c r="F28" s="41">
        <f>SUM(F3:F27)</f>
        <v>36722</v>
      </c>
      <c r="G28" s="40">
        <f>SUM(G3:G27)</f>
        <v>73</v>
      </c>
      <c r="H28" s="7"/>
    </row>
    <row r="29" spans="2:8" ht="15" x14ac:dyDescent="0.25">
      <c r="B29" s="3" t="s">
        <v>49</v>
      </c>
      <c r="F29" s="7"/>
      <c r="G29" s="7"/>
    </row>
    <row r="30" spans="2:8" x14ac:dyDescent="0.2">
      <c r="B30" s="3" t="s">
        <v>50</v>
      </c>
    </row>
    <row r="32" spans="2:8" ht="25.5" x14ac:dyDescent="0.2">
      <c r="C32" s="123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30-04-'25 r.</v>
      </c>
      <c r="E3" s="36" t="str">
        <f>T('4długot.'!D2)</f>
        <v>liczba bezrobotnych pow. 12 m-cy stan na 31-03-'25 r.</v>
      </c>
      <c r="F3" s="36" t="str">
        <f>T('4długot.'!E2)</f>
        <v>wzrost/spadek do poprzedniego  miesiąca</v>
      </c>
      <c r="G3" s="36" t="str">
        <f>T('4długot.'!F2)</f>
        <v>liczba bezrobotnych pow. 12 m-cy,  stan na 30-04-'24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347</v>
      </c>
      <c r="E4" s="42">
        <f>INDEX('4długot.'!B3:G28,MATCH(1,B4:B29,0),3)</f>
        <v>346</v>
      </c>
      <c r="F4" s="6">
        <f>INDEX('4długot.'!B3:G28,MATCH(1,B4:B29,0),4)</f>
        <v>1</v>
      </c>
      <c r="G4" s="42">
        <f>INDEX('4długot.'!B3:G28,MATCH(1,B4:B29,0),5)</f>
        <v>336</v>
      </c>
      <c r="H4" s="6">
        <f>INDEX('4długot.'!B3:G28,MATCH(1,B4:B29,0),6)</f>
        <v>11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532</v>
      </c>
      <c r="E5" s="42">
        <f>INDEX('4długot.'!B3:G28,MATCH(2,B4:B29,0),3)</f>
        <v>542</v>
      </c>
      <c r="F5" s="6">
        <f>INDEX('4długot.'!B3:G28,MATCH(2,B4:B29,0),4)</f>
        <v>-10</v>
      </c>
      <c r="G5" s="42">
        <f>INDEX('4długot.'!B3:G28,MATCH(2,B4:B29,0),5)</f>
        <v>554</v>
      </c>
      <c r="H5" s="6">
        <f>INDEX('4długot.'!B3:G28,MATCH(2,B4:B29,0),6)</f>
        <v>-22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613</v>
      </c>
      <c r="E6" s="42">
        <f>INDEX('4długot.'!B3:G28,MATCH(3,B4:B29,0),3)</f>
        <v>625</v>
      </c>
      <c r="F6" s="6">
        <f>INDEX('4długot.'!B3:G28,MATCH(3,B4:B29,0),4)</f>
        <v>-12</v>
      </c>
      <c r="G6" s="42">
        <f>INDEX('4długot.'!B3:G28,MATCH(3,B4:B29,0),5)</f>
        <v>633</v>
      </c>
      <c r="H6" s="6">
        <f>INDEX('4długot.'!B3:G28,MATCH(3,B4:B29,0),6)</f>
        <v>-20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639</v>
      </c>
      <c r="E7" s="42">
        <f>INDEX('4długot.'!B3:G28,MATCH(4,B4:B29,0),3)</f>
        <v>657</v>
      </c>
      <c r="F7" s="6">
        <f>INDEX('4długot.'!B3:G28,MATCH(4,B4:B29,0),4)</f>
        <v>-18</v>
      </c>
      <c r="G7" s="42">
        <f>INDEX('4długot.'!B3:G28,MATCH(4,B4:B29,0),5)</f>
        <v>605</v>
      </c>
      <c r="H7" s="6">
        <f>INDEX('4długot.'!B3:G28,MATCH(4,B4:B29,0),6)</f>
        <v>34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762</v>
      </c>
      <c r="E8" s="42">
        <f>INDEX('4długot.'!B3:G28,MATCH(5,B4:B29,0),3)</f>
        <v>776</v>
      </c>
      <c r="F8" s="6">
        <f>INDEX('4długot.'!B3:G28,MATCH(5,B4:B29,0),4)</f>
        <v>-14</v>
      </c>
      <c r="G8" s="42">
        <f>INDEX('4długot.'!B3:G28,MATCH(5,B4:B29,0),5)</f>
        <v>728</v>
      </c>
      <c r="H8" s="6">
        <f>INDEX('4długot.'!B3:G28,MATCH(5,B4:B29,0),6)</f>
        <v>34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840</v>
      </c>
      <c r="E9" s="42">
        <f>INDEX('4długot.'!B3:G28,MATCH(6,B4:B29,0),3)</f>
        <v>901</v>
      </c>
      <c r="F9" s="6">
        <f>INDEX('4długot.'!B3:G28,MATCH(6,B4:B29,0),4)</f>
        <v>-61</v>
      </c>
      <c r="G9" s="42">
        <f>INDEX('4długot.'!B3:G28,MATCH(6,B4:B29,0),5)</f>
        <v>878</v>
      </c>
      <c r="H9" s="6">
        <f>INDEX('4długot.'!B3:G28,MATCH(6,B4:B29,0),6)</f>
        <v>-38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stalowowolski</v>
      </c>
      <c r="D10" s="6">
        <f>INDEX('4długot.'!B3:G28,MATCH(7,B4:B29,0),2)</f>
        <v>930</v>
      </c>
      <c r="E10" s="42">
        <f>INDEX('4długot.'!B3:G28,MATCH(7,B4:B29,0),3)</f>
        <v>969</v>
      </c>
      <c r="F10" s="6">
        <f>INDEX('4długot.'!B3:G28,MATCH(7,B4:B29,0),4)</f>
        <v>-39</v>
      </c>
      <c r="G10" s="42">
        <f>INDEX('4długot.'!B3:G28,MATCH(7,B4:B29,0),5)</f>
        <v>791</v>
      </c>
      <c r="H10" s="6">
        <f>INDEX('4długot.'!B3:G28,MATCH(7,B4:B29,0),6)</f>
        <v>139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dębicki</v>
      </c>
      <c r="D11" s="6">
        <f>INDEX('4długot.'!B3:G28,MATCH(8,B4:B29,0),2)</f>
        <v>942</v>
      </c>
      <c r="E11" s="42">
        <f>INDEX('4długot.'!B3:G28,MATCH(8,B4:B29,0),3)</f>
        <v>972</v>
      </c>
      <c r="F11" s="6">
        <f>INDEX('4długot.'!B3:G28,MATCH(8,B4:B29,0),4)</f>
        <v>-30</v>
      </c>
      <c r="G11" s="42">
        <f>INDEX('4długot.'!B3:G28,MATCH(8,B4:B29,0),5)</f>
        <v>980</v>
      </c>
      <c r="H11" s="6">
        <f>INDEX('4długot.'!B3:G28,MATCH(8,B4:B29,0),6)</f>
        <v>-38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leski</v>
      </c>
      <c r="D12" s="6">
        <f>INDEX('4długot.'!B3:G28,MATCH(9,B4:B29,0),2)</f>
        <v>1042</v>
      </c>
      <c r="E12" s="42">
        <f>INDEX('4długot.'!B3:G28,MATCH(9,B4:B29,0),3)</f>
        <v>1069</v>
      </c>
      <c r="F12" s="6">
        <f>INDEX('4długot.'!B3:G28,MATCH(9,B4:B29,0),4)</f>
        <v>-27</v>
      </c>
      <c r="G12" s="42">
        <f>INDEX('4długot.'!B3:G28,MATCH(9,B4:B29,0),5)</f>
        <v>1081</v>
      </c>
      <c r="H12" s="6">
        <f>INDEX('4długot.'!B3:G28,MATCH(9,B4:B29,0),6)</f>
        <v>-39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1069</v>
      </c>
      <c r="E13" s="42">
        <f>INDEX('4długot.'!B3:G28,MATCH(10,B4:B29,0),3)</f>
        <v>1058</v>
      </c>
      <c r="F13" s="6">
        <f>INDEX('4długot.'!B3:G28,MATCH(10,B4:B29,0),4)</f>
        <v>11</v>
      </c>
      <c r="G13" s="42">
        <f>INDEX('4długot.'!B3:G28,MATCH(10,B4:B29,0),5)</f>
        <v>1001</v>
      </c>
      <c r="H13" s="6">
        <f>INDEX('4długot.'!B3:G28,MATCH(10,B4:B29,0),6)</f>
        <v>68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1188</v>
      </c>
      <c r="E14" s="42">
        <f>INDEX('4długot.'!B3:G28,MATCH(11,B4:B29,0),3)</f>
        <v>1221</v>
      </c>
      <c r="F14" s="6">
        <f>INDEX('4długot.'!B3:G28,MATCH(11,B4:B29,0),4)</f>
        <v>-33</v>
      </c>
      <c r="G14" s="42">
        <f>INDEX('4długot.'!B3:G28,MATCH(11,B4:B29,0),5)</f>
        <v>1216</v>
      </c>
      <c r="H14" s="6">
        <f>INDEX('4długot.'!B3:G28,MATCH(11,B4:B29,0),6)</f>
        <v>-28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1443</v>
      </c>
      <c r="E15" s="42">
        <f>INDEX('4długot.'!B3:G28,MATCH(12,B4:B29,0),3)</f>
        <v>1472</v>
      </c>
      <c r="F15" s="6">
        <f>INDEX('4długot.'!B3:G28,MATCH(12,B4:B29,0),4)</f>
        <v>-29</v>
      </c>
      <c r="G15" s="42">
        <f>INDEX('4długot.'!B3:G28,MATCH(12,B4:B29,0),5)</f>
        <v>1471</v>
      </c>
      <c r="H15" s="6">
        <f>INDEX('4długot.'!B3:G28,MATCH(12,B4:B29,0),6)</f>
        <v>-28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ropczycko-sędziszowski</v>
      </c>
      <c r="D16" s="6">
        <f>INDEX('4długot.'!B3:G28,MATCH(13,B4:B29,0),2)</f>
        <v>1445</v>
      </c>
      <c r="E16" s="42">
        <f>INDEX('4długot.'!B3:G28,MATCH(13,B4:B29,0),3)</f>
        <v>1415</v>
      </c>
      <c r="F16" s="6">
        <f>INDEX('4długot.'!B3:G28,MATCH(13,B4:B29,0),4)</f>
        <v>30</v>
      </c>
      <c r="G16" s="42">
        <f>INDEX('4długot.'!B3:G28,MATCH(13,B4:B29,0),5)</f>
        <v>1324</v>
      </c>
      <c r="H16" s="6">
        <f>INDEX('4długot.'!B3:G28,MATCH(13,B4:B29,0),6)</f>
        <v>121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1517</v>
      </c>
      <c r="E17" s="42">
        <f>INDEX('4długot.'!B3:G28,MATCH(14,B4:B29,0),3)</f>
        <v>1551</v>
      </c>
      <c r="F17" s="6">
        <f>INDEX('4długot.'!B3:G28,MATCH(14,B4:B29,0),4)</f>
        <v>-34</v>
      </c>
      <c r="G17" s="42">
        <f>INDEX('4długot.'!B3:G28,MATCH(14,B4:B29,0),5)</f>
        <v>1360</v>
      </c>
      <c r="H17" s="6">
        <f>INDEX('4długot.'!B3:G28,MATCH(14,B4:B29,0),6)</f>
        <v>157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1570</v>
      </c>
      <c r="E18" s="42">
        <f>INDEX('4długot.'!B3:G28,MATCH(15,B4:B29,0),3)</f>
        <v>1592</v>
      </c>
      <c r="F18" s="6">
        <f>INDEX('4długot.'!B3:G28,MATCH(15,B4:B29,0),4)</f>
        <v>-22</v>
      </c>
      <c r="G18" s="42">
        <f>INDEX('4długot.'!B3:G28,MATCH(15,B4:B29,0),5)</f>
        <v>1466</v>
      </c>
      <c r="H18" s="6">
        <f>INDEX('4długot.'!B3:G28,MATCH(15,B4:B29,0),6)</f>
        <v>104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przemyski</v>
      </c>
      <c r="D19" s="6">
        <f>INDEX('4długot.'!B3:G28,MATCH(16,B4:B29,0),2)</f>
        <v>1640</v>
      </c>
      <c r="E19" s="42">
        <f>INDEX('4długot.'!B3:G28,MATCH(16,B4:B29,0),3)</f>
        <v>1666</v>
      </c>
      <c r="F19" s="6">
        <f>INDEX('4długot.'!B3:G28,MATCH(16,B4:B29,0),4)</f>
        <v>-26</v>
      </c>
      <c r="G19" s="42">
        <f>INDEX('4długot.'!B3:G28,MATCH(16,B4:B29,0),5)</f>
        <v>1640</v>
      </c>
      <c r="H19" s="6">
        <f>INDEX('4długot.'!B3:G28,MATCH(16,B4:B29,0),6)</f>
        <v>0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1649</v>
      </c>
      <c r="E20" s="42">
        <f>INDEX('4długot.'!B3:G28,MATCH(17,B4:B29,0),3)</f>
        <v>1695</v>
      </c>
      <c r="F20" s="6">
        <f>INDEX('4długot.'!B3:G28,MATCH(17,B4:B29,0),4)</f>
        <v>-46</v>
      </c>
      <c r="G20" s="42">
        <f>INDEX('4długot.'!B3:G28,MATCH(17,B4:B29,0),5)</f>
        <v>1661</v>
      </c>
      <c r="H20" s="6">
        <f>INDEX('4długot.'!B3:G28,MATCH(17,B4:B29,0),6)</f>
        <v>-12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1688</v>
      </c>
      <c r="E21" s="42">
        <f>INDEX('4długot.'!B3:G28,MATCH(18,B4:B29,0),3)</f>
        <v>1732</v>
      </c>
      <c r="F21" s="6">
        <f>INDEX('4długot.'!B3:G28,MATCH(18,B4:B29,0),4)</f>
        <v>-44</v>
      </c>
      <c r="G21" s="42">
        <f>INDEX('4długot.'!B3:G28,MATCH(18,B4:B29,0),5)</f>
        <v>1694</v>
      </c>
      <c r="H21" s="6">
        <f>INDEX('4długot.'!B3:G28,MATCH(18,B4:B29,0),6)</f>
        <v>-6</v>
      </c>
    </row>
    <row r="22" spans="2:8" x14ac:dyDescent="0.2">
      <c r="B22" s="6">
        <f>RANK('4długot.'!C21,'4długot.'!$C$3:'4długot.'!$C$28,1)+COUNTIF('4długot.'!$C$3:'4długot.'!C21,'4długot.'!C21)-1</f>
        <v>7</v>
      </c>
      <c r="C22" s="5" t="str">
        <f>INDEX('4długot.'!B3:G28,MATCH(19,B4:B29,0),1)</f>
        <v>strzyżowski</v>
      </c>
      <c r="D22" s="6">
        <f>INDEX('4długot.'!B3:G28,MATCH(19,B4:B29,0),2)</f>
        <v>1850</v>
      </c>
      <c r="E22" s="42">
        <f>INDEX('4długot.'!B3:G28,MATCH(19,B4:B29,0),3)</f>
        <v>1929</v>
      </c>
      <c r="F22" s="6">
        <f>INDEX('4długot.'!B3:G28,MATCH(19,B4:B29,0),4)</f>
        <v>-79</v>
      </c>
      <c r="G22" s="42">
        <f>INDEX('4długot.'!B3:G28,MATCH(19,B4:B29,0),5)</f>
        <v>1904</v>
      </c>
      <c r="H22" s="6">
        <f>INDEX('4długot.'!B3:G28,MATCH(19,B4:B29,0),6)</f>
        <v>-54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1960</v>
      </c>
      <c r="E23" s="42">
        <f>INDEX('4długot.'!B3:G28,MATCH(20,B4:B29,0),3)</f>
        <v>1970</v>
      </c>
      <c r="F23" s="6">
        <f>INDEX('4długot.'!B3:G28,MATCH(20,B4:B29,0),4)</f>
        <v>-10</v>
      </c>
      <c r="G23" s="42">
        <f>INDEX('4długot.'!B3:G28,MATCH(20,B4:B29,0),5)</f>
        <v>1925</v>
      </c>
      <c r="H23" s="6">
        <f>INDEX('4długot.'!B3:G28,MATCH(20,B4:B29,0),6)</f>
        <v>35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2326</v>
      </c>
      <c r="E24" s="42">
        <f>INDEX('4długot.'!B3:G28,MATCH(21,B4:B29,0),3)</f>
        <v>2405</v>
      </c>
      <c r="F24" s="6">
        <f>INDEX('4długot.'!B3:G28,MATCH(21,B4:B29,0),4)</f>
        <v>-79</v>
      </c>
      <c r="G24" s="42">
        <f>INDEX('4długot.'!B3:G28,MATCH(21,B4:B29,0),5)</f>
        <v>2382</v>
      </c>
      <c r="H24" s="6">
        <f>INDEX('4długot.'!B3:G28,MATCH(21,B4:B29,0),6)</f>
        <v>-56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2436</v>
      </c>
      <c r="E25" s="42">
        <f>INDEX('4długot.'!B3:G28,MATCH(22,B4:B29,0),3)</f>
        <v>2456</v>
      </c>
      <c r="F25" s="6">
        <f>INDEX('4długot.'!B3:G28,MATCH(22,B4:B29,0),4)</f>
        <v>-20</v>
      </c>
      <c r="G25" s="42">
        <f>INDEX('4długot.'!B3:G28,MATCH(22,B4:B29,0),5)</f>
        <v>2465</v>
      </c>
      <c r="H25" s="6">
        <f>INDEX('4długot.'!B3:G28,MATCH(22,B4:B29,0),6)</f>
        <v>-29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2540</v>
      </c>
      <c r="E26" s="42">
        <f>INDEX('4długot.'!B3:G28,MATCH(23,B4:B29,0),3)</f>
        <v>2560</v>
      </c>
      <c r="F26" s="6">
        <f>INDEX('4długot.'!B3:G28,MATCH(23,B4:B29,0),4)</f>
        <v>-20</v>
      </c>
      <c r="G26" s="42">
        <f>INDEX('4długot.'!B3:G28,MATCH(23,B4:B29,0),5)</f>
        <v>2585</v>
      </c>
      <c r="H26" s="6">
        <f>INDEX('4długot.'!B3:G28,MATCH(23,B4:B29,0),6)</f>
        <v>-45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2885</v>
      </c>
      <c r="E27" s="42">
        <f>INDEX('4długot.'!B3:G28,MATCH(24,B4:B29,0),3)</f>
        <v>2869</v>
      </c>
      <c r="F27" s="6">
        <f>INDEX('4długot.'!B3:G28,MATCH(24,B4:B29,0),4)</f>
        <v>16</v>
      </c>
      <c r="G27" s="42">
        <f>INDEX('4długot.'!B3:G28,MATCH(24,B4:B29,0),5)</f>
        <v>3032</v>
      </c>
      <c r="H27" s="6">
        <f>INDEX('4długot.'!B3:G28,MATCH(24,B4:B29,0),6)</f>
        <v>-147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2942</v>
      </c>
      <c r="E28" s="42">
        <f>INDEX('4długot.'!B3:G28,MATCH(25,B4:B29,0),3)</f>
        <v>3031</v>
      </c>
      <c r="F28" s="6">
        <f>INDEX('4długot.'!B3:G28,MATCH(25,B4:B29,0),4)</f>
        <v>-89</v>
      </c>
      <c r="G28" s="42">
        <f>INDEX('4długot.'!B3:G28,MATCH(25,B4:B29,0),5)</f>
        <v>3010</v>
      </c>
      <c r="H28" s="6">
        <f>INDEX('4długot.'!B3:G28,MATCH(25,B4:B29,0),6)</f>
        <v>-68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36795</v>
      </c>
      <c r="E29" s="44">
        <f>INDEX('4długot.'!B3:G28,MATCH(26,B4:B29,0),3)</f>
        <v>37479</v>
      </c>
      <c r="F29" s="40">
        <f>INDEX('4długot.'!B3:G28,MATCH(26,B4:B29,0),4)</f>
        <v>-684</v>
      </c>
      <c r="G29" s="44">
        <f>INDEX('4długot.'!B3:G28,MATCH(26,B4:B29,0),5)</f>
        <v>36722</v>
      </c>
      <c r="H29" s="40">
        <f>INDEX('4długot.'!B3:G28,MATCH(26,B4:B29,0),6)</f>
        <v>73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88</v>
      </c>
      <c r="D2" s="38" t="s">
        <v>87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28">
        <v>260</v>
      </c>
      <c r="D3" s="42">
        <v>287</v>
      </c>
      <c r="E3" s="28">
        <f t="shared" ref="E3:E27" si="0">SUM(C3)-D3</f>
        <v>-27</v>
      </c>
      <c r="F3" s="42">
        <v>268</v>
      </c>
      <c r="G3" s="28">
        <f t="shared" ref="G3:G27" si="1">SUM(C3)-F3</f>
        <v>-8</v>
      </c>
      <c r="H3" s="7"/>
    </row>
    <row r="4" spans="2:8" x14ac:dyDescent="0.2">
      <c r="B4" s="5" t="s">
        <v>1</v>
      </c>
      <c r="C4" s="28">
        <v>980</v>
      </c>
      <c r="D4" s="42">
        <v>1030</v>
      </c>
      <c r="E4" s="28">
        <f t="shared" si="0"/>
        <v>-50</v>
      </c>
      <c r="F4" s="42">
        <v>924</v>
      </c>
      <c r="G4" s="28">
        <f t="shared" si="1"/>
        <v>56</v>
      </c>
      <c r="H4" s="7"/>
    </row>
    <row r="5" spans="2:8" x14ac:dyDescent="0.2">
      <c r="B5" s="5" t="s">
        <v>2</v>
      </c>
      <c r="C5" s="28">
        <v>716</v>
      </c>
      <c r="D5" s="42">
        <v>751</v>
      </c>
      <c r="E5" s="28">
        <f t="shared" si="0"/>
        <v>-35</v>
      </c>
      <c r="F5" s="42">
        <v>698</v>
      </c>
      <c r="G5" s="28">
        <f t="shared" si="1"/>
        <v>18</v>
      </c>
      <c r="H5" s="7"/>
    </row>
    <row r="6" spans="2:8" x14ac:dyDescent="0.2">
      <c r="B6" s="5" t="s">
        <v>3</v>
      </c>
      <c r="C6" s="28">
        <v>1129</v>
      </c>
      <c r="D6" s="42">
        <v>1237</v>
      </c>
      <c r="E6" s="28">
        <f t="shared" si="0"/>
        <v>-108</v>
      </c>
      <c r="F6" s="42">
        <v>1075</v>
      </c>
      <c r="G6" s="28">
        <f t="shared" si="1"/>
        <v>54</v>
      </c>
      <c r="H6" s="7"/>
    </row>
    <row r="7" spans="2:8" x14ac:dyDescent="0.2">
      <c r="B7" s="5" t="s">
        <v>4</v>
      </c>
      <c r="C7" s="28">
        <v>1239</v>
      </c>
      <c r="D7" s="42">
        <v>1280</v>
      </c>
      <c r="E7" s="28">
        <f t="shared" si="0"/>
        <v>-41</v>
      </c>
      <c r="F7" s="42">
        <v>1226</v>
      </c>
      <c r="G7" s="28">
        <f t="shared" si="1"/>
        <v>13</v>
      </c>
      <c r="H7" s="7"/>
    </row>
    <row r="8" spans="2:8" x14ac:dyDescent="0.2">
      <c r="B8" s="5" t="s">
        <v>5</v>
      </c>
      <c r="C8" s="28">
        <v>424</v>
      </c>
      <c r="D8" s="42">
        <v>467</v>
      </c>
      <c r="E8" s="28">
        <f t="shared" si="0"/>
        <v>-43</v>
      </c>
      <c r="F8" s="42">
        <v>409</v>
      </c>
      <c r="G8" s="28">
        <f t="shared" si="1"/>
        <v>15</v>
      </c>
      <c r="H8" s="7"/>
    </row>
    <row r="9" spans="2:8" x14ac:dyDescent="0.2">
      <c r="B9" s="9" t="s">
        <v>6</v>
      </c>
      <c r="C9" s="28">
        <v>589</v>
      </c>
      <c r="D9" s="42">
        <v>627</v>
      </c>
      <c r="E9" s="28">
        <f t="shared" si="0"/>
        <v>-38</v>
      </c>
      <c r="F9" s="42">
        <v>605</v>
      </c>
      <c r="G9" s="28">
        <f t="shared" si="1"/>
        <v>-16</v>
      </c>
      <c r="H9" s="7"/>
    </row>
    <row r="10" spans="2:8" x14ac:dyDescent="0.2">
      <c r="B10" s="5" t="s">
        <v>7</v>
      </c>
      <c r="C10" s="28">
        <v>411</v>
      </c>
      <c r="D10" s="42">
        <v>424</v>
      </c>
      <c r="E10" s="28">
        <f t="shared" si="0"/>
        <v>-13</v>
      </c>
      <c r="F10" s="42">
        <v>414</v>
      </c>
      <c r="G10" s="28">
        <f t="shared" si="1"/>
        <v>-3</v>
      </c>
      <c r="H10" s="7"/>
    </row>
    <row r="11" spans="2:8" x14ac:dyDescent="0.2">
      <c r="B11" s="5" t="s">
        <v>8</v>
      </c>
      <c r="C11" s="28">
        <v>780</v>
      </c>
      <c r="D11" s="42">
        <v>837</v>
      </c>
      <c r="E11" s="28">
        <f t="shared" si="0"/>
        <v>-57</v>
      </c>
      <c r="F11" s="42">
        <v>860</v>
      </c>
      <c r="G11" s="28">
        <f t="shared" si="1"/>
        <v>-80</v>
      </c>
      <c r="H11" s="7"/>
    </row>
    <row r="12" spans="2:8" x14ac:dyDescent="0.2">
      <c r="B12" s="5" t="s">
        <v>9</v>
      </c>
      <c r="C12" s="28">
        <v>443</v>
      </c>
      <c r="D12" s="42">
        <v>461</v>
      </c>
      <c r="E12" s="28">
        <f t="shared" si="0"/>
        <v>-18</v>
      </c>
      <c r="F12" s="42">
        <v>454</v>
      </c>
      <c r="G12" s="28">
        <f t="shared" si="1"/>
        <v>-11</v>
      </c>
      <c r="H12" s="7"/>
    </row>
    <row r="13" spans="2:8" x14ac:dyDescent="0.2">
      <c r="B13" s="5" t="s">
        <v>10</v>
      </c>
      <c r="C13" s="28">
        <v>716</v>
      </c>
      <c r="D13" s="42">
        <v>753</v>
      </c>
      <c r="E13" s="28">
        <f t="shared" si="0"/>
        <v>-37</v>
      </c>
      <c r="F13" s="42">
        <v>724</v>
      </c>
      <c r="G13" s="28">
        <f t="shared" si="1"/>
        <v>-8</v>
      </c>
      <c r="H13" s="7"/>
    </row>
    <row r="14" spans="2:8" x14ac:dyDescent="0.2">
      <c r="B14" s="5" t="s">
        <v>11</v>
      </c>
      <c r="C14" s="28">
        <v>793</v>
      </c>
      <c r="D14" s="42">
        <v>833</v>
      </c>
      <c r="E14" s="28">
        <f t="shared" si="0"/>
        <v>-40</v>
      </c>
      <c r="F14" s="42">
        <v>725</v>
      </c>
      <c r="G14" s="28">
        <f t="shared" si="1"/>
        <v>68</v>
      </c>
      <c r="H14" s="7"/>
    </row>
    <row r="15" spans="2:8" x14ac:dyDescent="0.2">
      <c r="B15" s="5" t="s">
        <v>12</v>
      </c>
      <c r="C15" s="28">
        <v>743</v>
      </c>
      <c r="D15" s="42">
        <v>781</v>
      </c>
      <c r="E15" s="28">
        <f t="shared" si="0"/>
        <v>-38</v>
      </c>
      <c r="F15" s="42">
        <v>769</v>
      </c>
      <c r="G15" s="28">
        <f t="shared" si="1"/>
        <v>-26</v>
      </c>
      <c r="H15" s="7"/>
    </row>
    <row r="16" spans="2:8" x14ac:dyDescent="0.2">
      <c r="B16" s="5" t="s">
        <v>13</v>
      </c>
      <c r="C16" s="28">
        <v>748</v>
      </c>
      <c r="D16" s="42">
        <v>757</v>
      </c>
      <c r="E16" s="28">
        <f t="shared" si="0"/>
        <v>-9</v>
      </c>
      <c r="F16" s="42">
        <v>774</v>
      </c>
      <c r="G16" s="28">
        <f t="shared" si="1"/>
        <v>-26</v>
      </c>
      <c r="H16" s="7"/>
    </row>
    <row r="17" spans="2:8" x14ac:dyDescent="0.2">
      <c r="B17" s="5" t="s">
        <v>14</v>
      </c>
      <c r="C17" s="28">
        <v>898</v>
      </c>
      <c r="D17" s="42">
        <v>930</v>
      </c>
      <c r="E17" s="28">
        <f t="shared" si="0"/>
        <v>-32</v>
      </c>
      <c r="F17" s="42">
        <v>869</v>
      </c>
      <c r="G17" s="28">
        <f t="shared" si="1"/>
        <v>29</v>
      </c>
      <c r="H17" s="7"/>
    </row>
    <row r="18" spans="2:8" x14ac:dyDescent="0.2">
      <c r="B18" s="5" t="s">
        <v>15</v>
      </c>
      <c r="C18" s="28">
        <v>819</v>
      </c>
      <c r="D18" s="42">
        <v>858</v>
      </c>
      <c r="E18" s="28">
        <f t="shared" si="0"/>
        <v>-39</v>
      </c>
      <c r="F18" s="42">
        <v>806</v>
      </c>
      <c r="G18" s="28">
        <f t="shared" si="1"/>
        <v>13</v>
      </c>
      <c r="H18" s="7"/>
    </row>
    <row r="19" spans="2:8" x14ac:dyDescent="0.2">
      <c r="B19" s="5" t="s">
        <v>16</v>
      </c>
      <c r="C19" s="28">
        <v>1245</v>
      </c>
      <c r="D19" s="42">
        <v>1263</v>
      </c>
      <c r="E19" s="28">
        <f t="shared" si="0"/>
        <v>-18</v>
      </c>
      <c r="F19" s="42">
        <v>1225</v>
      </c>
      <c r="G19" s="28">
        <f t="shared" si="1"/>
        <v>20</v>
      </c>
      <c r="H19" s="7"/>
    </row>
    <row r="20" spans="2:8" x14ac:dyDescent="0.2">
      <c r="B20" s="5" t="s">
        <v>17</v>
      </c>
      <c r="C20" s="28">
        <v>792</v>
      </c>
      <c r="D20" s="42">
        <v>852</v>
      </c>
      <c r="E20" s="28">
        <f t="shared" si="0"/>
        <v>-60</v>
      </c>
      <c r="F20" s="42">
        <v>719</v>
      </c>
      <c r="G20" s="28">
        <f t="shared" si="1"/>
        <v>73</v>
      </c>
      <c r="H20" s="7"/>
    </row>
    <row r="21" spans="2:8" x14ac:dyDescent="0.2">
      <c r="B21" s="5" t="s">
        <v>18</v>
      </c>
      <c r="C21" s="28">
        <v>579</v>
      </c>
      <c r="D21" s="42">
        <v>616</v>
      </c>
      <c r="E21" s="28">
        <f t="shared" si="0"/>
        <v>-37</v>
      </c>
      <c r="F21" s="42">
        <v>530</v>
      </c>
      <c r="G21" s="28">
        <f t="shared" si="1"/>
        <v>49</v>
      </c>
      <c r="H21" s="7"/>
    </row>
    <row r="22" spans="2:8" x14ac:dyDescent="0.2">
      <c r="B22" s="5" t="s">
        <v>19</v>
      </c>
      <c r="C22" s="28">
        <v>789</v>
      </c>
      <c r="D22" s="42">
        <v>845</v>
      </c>
      <c r="E22" s="28">
        <f t="shared" si="0"/>
        <v>-56</v>
      </c>
      <c r="F22" s="42">
        <v>821</v>
      </c>
      <c r="G22" s="28">
        <f t="shared" si="1"/>
        <v>-32</v>
      </c>
      <c r="H22" s="7"/>
    </row>
    <row r="23" spans="2:8" x14ac:dyDescent="0.2">
      <c r="B23" s="5" t="s">
        <v>20</v>
      </c>
      <c r="C23" s="28">
        <v>315</v>
      </c>
      <c r="D23" s="42">
        <v>323</v>
      </c>
      <c r="E23" s="28">
        <f t="shared" si="0"/>
        <v>-8</v>
      </c>
      <c r="F23" s="42">
        <v>323</v>
      </c>
      <c r="G23" s="28">
        <f t="shared" si="1"/>
        <v>-8</v>
      </c>
      <c r="H23" s="7"/>
    </row>
    <row r="24" spans="2:8" x14ac:dyDescent="0.2">
      <c r="B24" s="5" t="s">
        <v>21</v>
      </c>
      <c r="C24" s="28">
        <v>174</v>
      </c>
      <c r="D24" s="42">
        <v>176</v>
      </c>
      <c r="E24" s="28">
        <f t="shared" si="0"/>
        <v>-2</v>
      </c>
      <c r="F24" s="42">
        <v>170</v>
      </c>
      <c r="G24" s="28">
        <f t="shared" si="1"/>
        <v>4</v>
      </c>
      <c r="H24" s="7"/>
    </row>
    <row r="25" spans="2:8" x14ac:dyDescent="0.2">
      <c r="B25" s="5" t="s">
        <v>22</v>
      </c>
      <c r="C25" s="28">
        <v>461</v>
      </c>
      <c r="D25" s="42">
        <v>454</v>
      </c>
      <c r="E25" s="28">
        <f t="shared" si="0"/>
        <v>7</v>
      </c>
      <c r="F25" s="42">
        <v>424</v>
      </c>
      <c r="G25" s="28">
        <f t="shared" si="1"/>
        <v>37</v>
      </c>
      <c r="H25" s="7"/>
    </row>
    <row r="26" spans="2:8" x14ac:dyDescent="0.2">
      <c r="B26" s="5" t="s">
        <v>23</v>
      </c>
      <c r="C26" s="28">
        <v>975</v>
      </c>
      <c r="D26" s="42">
        <v>986</v>
      </c>
      <c r="E26" s="28">
        <f t="shared" si="0"/>
        <v>-11</v>
      </c>
      <c r="F26" s="42">
        <v>919</v>
      </c>
      <c r="G26" s="28">
        <f t="shared" si="1"/>
        <v>56</v>
      </c>
      <c r="H26" s="7"/>
    </row>
    <row r="27" spans="2:8" x14ac:dyDescent="0.2">
      <c r="B27" s="5" t="s">
        <v>24</v>
      </c>
      <c r="C27" s="28">
        <v>204</v>
      </c>
      <c r="D27" s="42">
        <v>219</v>
      </c>
      <c r="E27" s="28">
        <f t="shared" si="0"/>
        <v>-15</v>
      </c>
      <c r="F27" s="42">
        <v>219</v>
      </c>
      <c r="G27" s="28">
        <f t="shared" si="1"/>
        <v>-15</v>
      </c>
      <c r="H27" s="7"/>
    </row>
    <row r="28" spans="2:8" ht="15" x14ac:dyDescent="0.25">
      <c r="B28" s="39" t="s">
        <v>25</v>
      </c>
      <c r="C28" s="48">
        <f>SUM(C3:C27)</f>
        <v>17222</v>
      </c>
      <c r="D28" s="44">
        <f>SUM(D3:D27)</f>
        <v>18047</v>
      </c>
      <c r="E28" s="48">
        <f>SUM(E3:E27)</f>
        <v>-825</v>
      </c>
      <c r="F28" s="44">
        <f>SUM(F3:F27)</f>
        <v>16950</v>
      </c>
      <c r="G28" s="48">
        <f>SUM(G3:G27)</f>
        <v>272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2025-05-27T10:40:27Z</cp:lastPrinted>
  <dcterms:created xsi:type="dcterms:W3CDTF">2016-08-02T05:46:03Z</dcterms:created>
  <dcterms:modified xsi:type="dcterms:W3CDTF">2025-05-27T10:40:51Z</dcterms:modified>
</cp:coreProperties>
</file>