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8C551051-2DC3-4D7A-A231-781E3494B8C0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<sst xmlns="http://schemas.openxmlformats.org/spreadsheetml/2006/main" count="112" uniqueCount="109">
  <si>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</si>
  <si>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</si>
  <si>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</si>
  <si>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</si>
  <si>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</si>
  <si>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</si>
  <si>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</si>
  <si>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</si>
  <si>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</si>
  <si>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</si>
  <si>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</si>
  <si>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</si>
  <si>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</si>
  <si>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</si>
  <si>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</si>
  <si>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</si>
  <si>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</si>
  <si>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</si>
  <si>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</si>
  <si>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</si>
  <si>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</si>
  <si>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</si>
  <si>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</si>
  <si>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</si>
  <si>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</si>
  <si>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</si>
  <si>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</si>
  <si>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</si>
  <si>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</si>
  <si>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</si>
  <si>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</si>
  <si>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</si>
  <si>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</si>
  <si>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</si>
  <si>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</si>
  <si>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</si>
  <si>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</si>
  <si>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</si>
  <si>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</si>
  <si>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</si>
  <si>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</si>
  <si>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</si>
  <si>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</si>
  <si>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</si>
  <si>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</si>
  <si>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</si>
  <si>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</si>
  <si>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</si>
  <si>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</si>
  <si>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</si>
  <si>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</si>
  <si>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</si>
  <si>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</si>
  <si>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</si>
  <si>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</si>
  <si>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</si>
  <si>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</si>
  <si>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</si>
  <si>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</si>
  <si>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</si>
  <si>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</si>
  <si>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</si>
  <si>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</si>
  <si>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</si>
  <si>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</si>
  <si>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</si>
  <si>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</si>
  <si>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</si>
  <si>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</si>
  <si>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</si>
  <si>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</si>
  <si>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</si>
  <si>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</si>
  <si>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</si>
  <si>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</si>
  <si>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</si>
  <si>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</si>
  <si>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</si>
  <si>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</si>
  <si>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</si>
  <si>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</si>
  <si>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</si>
  <si>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</si>
  <si>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</si>
  <si>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</si>
  <si>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</si>
  <si>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</si>
  <si>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</si>
  <si>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</si>
  <si>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</si>
  <si>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</si>
  <si>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</si>
  <si>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</si>
  <si>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</si>
  <si>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</si>
  <si>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</si>
  <si>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</si>
  <si>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</si>
  <si>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</si>
  <si>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</si>
  <si>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</si>
  <si>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</si>
  <si>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</si>
  <si>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</si>
  <si>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</si>
  <si>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</si>
  <si>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31-10-'25 r. (w proc.)*</t>
  </si>
  <si>
    <t>Stopa bezrobocia stan na 30-11-'25 r. (w proc.)*</t>
  </si>
  <si>
    <t>Stopa bezrobocia stan na 30-11-'24 r. (w proc.)*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</si>
</sst>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8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2" fillId="5" borderId="19">
      <alignment horizontal="left" vertical="center" wrapText="1"/>
    </xf>
  </cellStyleXfs>
  <cellXfs count="7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9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5" fontId="2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/>
    <xf numFmtId="0" fontId="7" fillId="2" borderId="0" xfId="0" applyFont="1" applyFill="1" applyAlignment="1">
      <alignment horizontal="right" vertical="center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4" fontId="11" fillId="0" borderId="17" xfId="0" applyNumberFormat="1" applyFont="1" applyBorder="1" applyAlignment="1">
      <alignment horizontal="center" vertical="center"/>
    </xf>
    <xf numFmtId="3" fontId="11" fillId="2" borderId="0" xfId="0" applyNumberFormat="1" applyFont="1" applyFill="1"/>
    <xf numFmtId="3" fontId="11" fillId="2" borderId="6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POMORSKIE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3.5</c:v>
                </c:pt>
                <c:pt idx="1">
                  <c:v>4.3</c:v>
                </c:pt>
                <c:pt idx="2">
                  <c:v>4.3</c:v>
                </c:pt>
                <c:pt idx="3">
                  <c:v>4.5999999999999996</c:v>
                </c:pt>
                <c:pt idx="4">
                  <c:v>5.2</c:v>
                </c:pt>
                <c:pt idx="5">
                  <c:v>5.3</c:v>
                </c:pt>
                <c:pt idx="6">
                  <c:v>5.5</c:v>
                </c:pt>
                <c:pt idx="7">
                  <c:v>5.6</c:v>
                </c:pt>
                <c:pt idx="8">
                  <c:v>6.2</c:v>
                </c:pt>
                <c:pt idx="9">
                  <c:v>6.2</c:v>
                </c:pt>
                <c:pt idx="10">
                  <c:v>7.2</c:v>
                </c:pt>
                <c:pt idx="11">
                  <c:v>7.5</c:v>
                </c:pt>
                <c:pt idx="12">
                  <c:v>7.6</c:v>
                </c:pt>
                <c:pt idx="13">
                  <c:v>7.9</c:v>
                </c:pt>
                <c:pt idx="14">
                  <c:v>8.1</c:v>
                </c:pt>
                <c:pt idx="15">
                  <c:v>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'1998-2024'!$L$3:$L$37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'1998-2024'!$M$3:$M$37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'1998-2024'!$C$3:$C$37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'1998-2024'!$D$3:$D$37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'1998-2024'!$B$11:$B$36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'1998-2024'!$E$11:$E$36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'1998-2024'!$F$11:$F$36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'1998-2024'!$G$11:$G$36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'1998-2024'!$E$11:$E$36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'1998-2024'!$C$3:$C$37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'1998-2024'!$D$3:$D$37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'1998-2024'!$E$11:$E$37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0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10" customWidth="1"/>
    <col min="9" max="16384" width="9.140625" style="2"/>
  </cols>
  <sheetData>
    <row r="1" spans="1:8" ht="15" customHeight="1" x14ac:dyDescent="0.2">
      <c r="B1" s="1" t="s">
        <v>20</v>
      </c>
    </row>
    <row r="2" spans="1:8" ht="71.25" x14ac:dyDescent="0.2">
      <c r="B2" s="24" t="s">
        <v>0</v>
      </c>
      <c r="C2" s="24" t="s">
        <v>107</v>
      </c>
      <c r="D2" s="25" t="s">
        <v>106</v>
      </c>
      <c r="E2" s="24" t="s">
        <v>18</v>
      </c>
      <c r="F2" s="25" t="s">
        <v>108</v>
      </c>
      <c r="G2" s="24" t="s">
        <v>21</v>
      </c>
    </row>
    <row r="3" spans="1:8" ht="15" x14ac:dyDescent="0.2">
      <c r="A3" s="10">
        <v>1</v>
      </c>
      <c r="B3" s="11" t="s">
        <v>1</v>
      </c>
      <c r="C3" s="40">
        <v>5.6</v>
      </c>
      <c r="D3" s="27">
        <v>5.6</v>
      </c>
      <c r="E3" s="12">
        <f>C3-D3</f>
        <v>0</v>
      </c>
      <c r="F3" s="27">
        <v>5</v>
      </c>
      <c r="G3" s="12">
        <f>C3-F3</f>
        <v>0.59999999999999964</v>
      </c>
      <c r="H3" s="13"/>
    </row>
    <row r="4" spans="1:8" x14ac:dyDescent="0.2">
      <c r="A4" s="10">
        <v>2</v>
      </c>
      <c r="B4" s="14" t="s">
        <v>2</v>
      </c>
      <c r="C4" s="38">
        <v>5.2</v>
      </c>
      <c r="D4" s="26">
        <v>5.2</v>
      </c>
      <c r="E4" s="15">
        <f t="shared" ref="E4:E19" si="0">C4-D4</f>
        <v>0</v>
      </c>
      <c r="F4" s="26">
        <v>4.5999999999999996</v>
      </c>
      <c r="G4" s="15">
        <f t="shared" ref="G4:G19" si="1">C4-F4</f>
        <v>0.60000000000000053</v>
      </c>
      <c r="H4" s="13"/>
    </row>
    <row r="5" spans="1:8" x14ac:dyDescent="0.2">
      <c r="A5" s="10">
        <v>3</v>
      </c>
      <c r="B5" s="14" t="s">
        <v>3</v>
      </c>
      <c r="C5" s="15">
        <v>7.6</v>
      </c>
      <c r="D5" s="26">
        <v>7.7</v>
      </c>
      <c r="E5" s="16">
        <f t="shared" si="0"/>
        <v>-0.10000000000000053</v>
      </c>
      <c r="F5" s="26">
        <v>7.1</v>
      </c>
      <c r="G5" s="15">
        <f t="shared" si="1"/>
        <v>0.5</v>
      </c>
      <c r="H5" s="13"/>
    </row>
    <row r="6" spans="1:8" x14ac:dyDescent="0.2">
      <c r="A6" s="10">
        <v>4</v>
      </c>
      <c r="B6" s="14" t="s">
        <v>4</v>
      </c>
      <c r="C6" s="16">
        <v>7.9</v>
      </c>
      <c r="D6" s="26">
        <v>7.9</v>
      </c>
      <c r="E6" s="15">
        <f t="shared" si="0"/>
        <v>0</v>
      </c>
      <c r="F6" s="26">
        <v>7.2</v>
      </c>
      <c r="G6" s="15">
        <f t="shared" si="1"/>
        <v>0.70000000000000018</v>
      </c>
      <c r="H6" s="13"/>
    </row>
    <row r="7" spans="1:8" x14ac:dyDescent="0.2">
      <c r="A7" s="10">
        <v>5</v>
      </c>
      <c r="B7" s="14" t="s">
        <v>5</v>
      </c>
      <c r="C7" s="15">
        <v>5.5</v>
      </c>
      <c r="D7" s="26">
        <v>5.5</v>
      </c>
      <c r="E7" s="15">
        <f t="shared" si="0"/>
        <v>0</v>
      </c>
      <c r="F7" s="26">
        <v>4.4000000000000004</v>
      </c>
      <c r="G7" s="15">
        <f t="shared" si="1"/>
        <v>1.0999999999999996</v>
      </c>
      <c r="H7" s="13"/>
    </row>
    <row r="8" spans="1:8" x14ac:dyDescent="0.2">
      <c r="A8" s="10">
        <v>6</v>
      </c>
      <c r="B8" s="14" t="s">
        <v>6</v>
      </c>
      <c r="C8" s="15">
        <v>6.2</v>
      </c>
      <c r="D8" s="26">
        <v>6.2</v>
      </c>
      <c r="E8" s="15">
        <f t="shared" si="0"/>
        <v>0</v>
      </c>
      <c r="F8" s="26">
        <v>5.3</v>
      </c>
      <c r="G8" s="15">
        <f t="shared" si="1"/>
        <v>0.90000000000000036</v>
      </c>
      <c r="H8" s="13"/>
    </row>
    <row r="9" spans="1:8" x14ac:dyDescent="0.2">
      <c r="A9" s="10">
        <v>7</v>
      </c>
      <c r="B9" s="14" t="s">
        <v>7</v>
      </c>
      <c r="C9" s="15">
        <v>4.5999999999999996</v>
      </c>
      <c r="D9" s="26">
        <v>4.5999999999999996</v>
      </c>
      <c r="E9" s="15">
        <f t="shared" si="0"/>
        <v>0</v>
      </c>
      <c r="F9" s="26">
        <v>4.0999999999999996</v>
      </c>
      <c r="G9" s="15">
        <f t="shared" si="1"/>
        <v>0.5</v>
      </c>
      <c r="H9" s="13"/>
    </row>
    <row r="10" spans="1:8" x14ac:dyDescent="0.2">
      <c r="A10" s="10">
        <v>8</v>
      </c>
      <c r="B10" s="14" t="s">
        <v>8</v>
      </c>
      <c r="C10" s="15">
        <v>4.3</v>
      </c>
      <c r="D10" s="26">
        <v>4.4000000000000004</v>
      </c>
      <c r="E10" s="15">
        <f t="shared" si="0"/>
        <v>-0.10000000000000053</v>
      </c>
      <c r="F10" s="26">
        <v>4</v>
      </c>
      <c r="G10" s="15">
        <f t="shared" si="1"/>
        <v>0.29999999999999982</v>
      </c>
      <c r="H10" s="13"/>
    </row>
    <row r="11" spans="1:8" x14ac:dyDescent="0.2">
      <c r="A11" s="10">
        <v>9</v>
      </c>
      <c r="B11" s="14" t="s">
        <v>9</v>
      </c>
      <c r="C11" s="15">
        <v>6.2</v>
      </c>
      <c r="D11" s="26">
        <v>6.2</v>
      </c>
      <c r="E11" s="15">
        <f t="shared" si="0"/>
        <v>0</v>
      </c>
      <c r="F11" s="26">
        <v>5.7</v>
      </c>
      <c r="G11" s="15">
        <f t="shared" si="1"/>
        <v>0.5</v>
      </c>
      <c r="H11" s="13"/>
    </row>
    <row r="12" spans="1:8" ht="15" x14ac:dyDescent="0.2">
      <c r="A12" s="10">
        <v>10</v>
      </c>
      <c r="B12" s="11" t="s">
        <v>10</v>
      </c>
      <c r="C12" s="39">
        <v>9</v>
      </c>
      <c r="D12" s="27">
        <v>9</v>
      </c>
      <c r="E12" s="12">
        <f>C12-D12</f>
        <v>0</v>
      </c>
      <c r="F12" s="27">
        <v>8.4</v>
      </c>
      <c r="G12" s="12">
        <f>C12-F12</f>
        <v>0.59999999999999964</v>
      </c>
      <c r="H12" s="13"/>
    </row>
    <row r="13" spans="1:8" x14ac:dyDescent="0.2">
      <c r="A13" s="10">
        <v>11</v>
      </c>
      <c r="B13" s="14" t="s">
        <v>11</v>
      </c>
      <c r="C13" s="38">
        <v>7.2</v>
      </c>
      <c r="D13" s="26">
        <v>7.3</v>
      </c>
      <c r="E13" s="15">
        <f t="shared" si="0"/>
        <v>-9.9999999999999645E-2</v>
      </c>
      <c r="F13" s="26">
        <v>6.8</v>
      </c>
      <c r="G13" s="15">
        <f t="shared" si="1"/>
        <v>0.40000000000000036</v>
      </c>
      <c r="H13" s="13"/>
    </row>
    <row r="14" spans="1:8" x14ac:dyDescent="0.2">
      <c r="A14" s="10">
        <v>12</v>
      </c>
      <c r="B14" s="14" t="s">
        <v>12</v>
      </c>
      <c r="C14" s="15">
        <v>5.3</v>
      </c>
      <c r="D14" s="26">
        <v>5.3</v>
      </c>
      <c r="E14" s="15">
        <f t="shared" si="0"/>
        <v>0</v>
      </c>
      <c r="F14" s="26">
        <v>4.5999999999999996</v>
      </c>
      <c r="G14" s="15">
        <f t="shared" si="1"/>
        <v>0.70000000000000018</v>
      </c>
      <c r="H14" s="13"/>
    </row>
    <row r="15" spans="1:8" x14ac:dyDescent="0.2">
      <c r="A15" s="10">
        <v>13</v>
      </c>
      <c r="B15" s="14" t="s">
        <v>13</v>
      </c>
      <c r="C15" s="15">
        <v>4.3</v>
      </c>
      <c r="D15" s="26">
        <v>4.3</v>
      </c>
      <c r="E15" s="15">
        <f t="shared" si="0"/>
        <v>0</v>
      </c>
      <c r="F15" s="26">
        <v>3.5</v>
      </c>
      <c r="G15" s="15">
        <f t="shared" si="1"/>
        <v>0.79999999999999982</v>
      </c>
      <c r="H15" s="13"/>
    </row>
    <row r="16" spans="1:8" x14ac:dyDescent="0.2">
      <c r="A16" s="10">
        <v>14</v>
      </c>
      <c r="B16" s="14" t="s">
        <v>14</v>
      </c>
      <c r="C16" s="15">
        <v>8.1</v>
      </c>
      <c r="D16" s="26">
        <v>8.1</v>
      </c>
      <c r="E16" s="15">
        <f t="shared" si="0"/>
        <v>0</v>
      </c>
      <c r="F16" s="26">
        <v>7.4</v>
      </c>
      <c r="G16" s="15">
        <f t="shared" si="1"/>
        <v>0.69999999999999929</v>
      </c>
      <c r="H16" s="13"/>
    </row>
    <row r="17" spans="1:8" x14ac:dyDescent="0.2">
      <c r="A17" s="10">
        <v>15</v>
      </c>
      <c r="B17" s="14" t="s">
        <v>15</v>
      </c>
      <c r="C17" s="15">
        <v>9</v>
      </c>
      <c r="D17" s="26">
        <v>8.9</v>
      </c>
      <c r="E17" s="15">
        <f t="shared" si="0"/>
        <v>9.9999999999999645E-2</v>
      </c>
      <c r="F17" s="26">
        <v>8</v>
      </c>
      <c r="G17" s="15">
        <f t="shared" si="1"/>
        <v>1</v>
      </c>
      <c r="H17" s="13"/>
    </row>
    <row r="18" spans="1:8" x14ac:dyDescent="0.2">
      <c r="A18" s="10">
        <v>16</v>
      </c>
      <c r="B18" s="14" t="s">
        <v>16</v>
      </c>
      <c r="C18" s="15">
        <v>3.5</v>
      </c>
      <c r="D18" s="26">
        <v>3.5</v>
      </c>
      <c r="E18" s="15">
        <f t="shared" si="0"/>
        <v>0</v>
      </c>
      <c r="F18" s="26">
        <v>2.9</v>
      </c>
      <c r="G18" s="15">
        <f t="shared" si="1"/>
        <v>0.60000000000000009</v>
      </c>
      <c r="H18" s="13"/>
    </row>
    <row r="19" spans="1:8" x14ac:dyDescent="0.2">
      <c r="A19" s="10">
        <v>17</v>
      </c>
      <c r="B19" s="14" t="s">
        <v>17</v>
      </c>
      <c r="C19" s="15">
        <v>7.5</v>
      </c>
      <c r="D19" s="26">
        <v>7.4</v>
      </c>
      <c r="E19" s="15">
        <f t="shared" si="0"/>
        <v>9.9999999999999645E-2</v>
      </c>
      <c r="F19" s="26">
        <v>6.6</v>
      </c>
      <c r="G19" s="15">
        <f t="shared" si="1"/>
        <v>0.90000000000000036</v>
      </c>
      <c r="H19" s="13"/>
    </row>
    <row r="20" spans="1:8" ht="12.75" customHeight="1" x14ac:dyDescent="0.2">
      <c r="B20" s="20" t="s">
        <v>22</v>
      </c>
    </row>
    <row r="21" spans="1:8" ht="13.5" customHeight="1" x14ac:dyDescent="0.2">
      <c r="B21" s="28"/>
    </row>
    <row r="22" spans="1:8" x14ac:dyDescent="0.2">
      <c r="B22" s="2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23" t="s">
        <v>19</v>
      </c>
      <c r="C3" s="22" t="str">
        <f>T('1s.bezr.Pol'!B2)</f>
        <v>powiaty</v>
      </c>
      <c r="D3" s="22" t="str">
        <f>T('1s.bezr.Pol'!C2)</f>
        <v>Stopa bezrobocia stan na 30-11-'25 r. (w proc.)*</v>
      </c>
      <c r="E3" s="22" t="str">
        <f>T('1s.bezr.Pol'!D2)</f>
        <v>Stopa bezrobocia stan na 31-10-'25 r. (w proc.)*</v>
      </c>
      <c r="F3" s="25" t="str">
        <f>T('1s.bezr.Pol'!E2)</f>
        <v>wzrost lub spadek do poprzedniego miesiąca (pkt. proc.)</v>
      </c>
      <c r="G3" s="29" t="str">
        <f>T('1s.bezr.Pol'!F2)</f>
        <v>Stopa bezrobocia stan na 30-11-'24 r. (w proc.)*</v>
      </c>
      <c r="H3" s="25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3">
        <f>INDEX('1s.bezr.Pol'!B3:G19,MATCH(1,B4:B20,0),2)</f>
        <v>3.5</v>
      </c>
      <c r="E4" s="16">
        <f>INDEX('1s.bezr.Pol'!B3:G19,MATCH(1,B4:B20,0),3)</f>
        <v>3.5</v>
      </c>
      <c r="F4" s="26">
        <f>INDEX('1s.bezr.Pol'!B3:G19,MATCH(1,B4:B20,0),4)</f>
        <v>0</v>
      </c>
      <c r="G4" s="16">
        <f>INDEX('1s.bezr.Pol'!B3:G19,MATCH(1,B4:B20,0),5)</f>
        <v>2.9</v>
      </c>
      <c r="H4" s="26">
        <f>INDEX('1s.bezr.Pol'!B3:G19,MATCH(1,B4:B20,0),6)</f>
        <v>0.60000000000000009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5</v>
      </c>
      <c r="C5" s="3" t="str">
        <f>INDEX('1s.bezr.Pol'!B3:G19,MATCH(2,B4:B20,0),1)</f>
        <v>MAZOWIECKIE</v>
      </c>
      <c r="D5" s="5">
        <f>INDEX('1s.bezr.Pol'!B3:G19,MATCH(2,B4:B20,0),2)</f>
        <v>4.3</v>
      </c>
      <c r="E5" s="16">
        <f>INDEX('1s.bezr.Pol'!B3:G19,MATCH(2,B4:B20,0),3)</f>
        <v>4.4000000000000004</v>
      </c>
      <c r="F5" s="26">
        <f>INDEX('1s.bezr.Pol'!B3:G19,MATCH(2,B4:B20,0),4)</f>
        <v>-0.10000000000000053</v>
      </c>
      <c r="G5" s="16">
        <f>INDEX('1s.bezr.Pol'!B3:G19,MATCH(2,B4:B20,0),5)</f>
        <v>4</v>
      </c>
      <c r="H5" s="26">
        <f>INDEX('1s.bezr.Pol'!B3:G19,MATCH(2,B4:B20,0),6)</f>
        <v>0.29999999999999982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ŚLĄSKIE</v>
      </c>
      <c r="D6" s="5">
        <f>INDEX('1s.bezr.Pol'!B3:G19,MATCH(3,B4:B20,0),2)</f>
        <v>4.3</v>
      </c>
      <c r="E6" s="16">
        <f>INDEX('1s.bezr.Pol'!B3:G19,MATCH(3,B4:B20,0),3)</f>
        <v>4.3</v>
      </c>
      <c r="F6" s="26">
        <f>INDEX('1s.bezr.Pol'!B3:G19,MATCH(3,B4:B20,0),4)</f>
        <v>0</v>
      </c>
      <c r="G6" s="16">
        <f>INDEX('1s.bezr.Pol'!B3:G19,MATCH(3,B4:B20,0),5)</f>
        <v>3.5</v>
      </c>
      <c r="H6" s="26">
        <f>INDEX('1s.bezr.Pol'!B3:G19,MATCH(3,B4:B20,0),6)</f>
        <v>0.79999999999999982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4.5999999999999996</v>
      </c>
      <c r="E7" s="16">
        <f>INDEX('1s.bezr.Pol'!B3:G19,MATCH(4,B4:B20,0),3)</f>
        <v>4.5999999999999996</v>
      </c>
      <c r="F7" s="26">
        <f>INDEX('1s.bezr.Pol'!B3:G19,MATCH(4,B4:B20,0),4)</f>
        <v>0</v>
      </c>
      <c r="G7" s="16">
        <f>INDEX('1s.bezr.Pol'!B3:G19,MATCH(4,B4:B20,0),5)</f>
        <v>4.0999999999999996</v>
      </c>
      <c r="H7" s="26">
        <f>INDEX('1s.bezr.Pol'!B3:G19,MATCH(4,B4:B20,0),6)</f>
        <v>0.5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DOLNOŚLĄSKIE</v>
      </c>
      <c r="D8" s="5">
        <f>INDEX('1s.bezr.Pol'!B3:G19,MATCH(5,B4:B20,0),2)</f>
        <v>5.2</v>
      </c>
      <c r="E8" s="16">
        <f>INDEX('1s.bezr.Pol'!B3:G19,MATCH(5,B4:B20,0),3)</f>
        <v>5.2</v>
      </c>
      <c r="F8" s="26">
        <f>INDEX('1s.bezr.Pol'!B3:G19,MATCH(5,B4:B20,0),4)</f>
        <v>0</v>
      </c>
      <c r="G8" s="16">
        <f>INDEX('1s.bezr.Pol'!B3:G19,MATCH(5,B4:B20,0),5)</f>
        <v>4.5999999999999996</v>
      </c>
      <c r="H8" s="26">
        <f>INDEX('1s.bezr.Pol'!B3:G19,MATCH(5,B4:B20,0),6)</f>
        <v>0.60000000000000053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5.3</v>
      </c>
      <c r="E9" s="16">
        <f>INDEX('1s.bezr.Pol'!B3:G19,MATCH(6,B4:B20,0),3)</f>
        <v>5.3</v>
      </c>
      <c r="F9" s="26">
        <f>INDEX('1s.bezr.Pol'!B3:G19,MATCH(6,B4:B20,0),4)</f>
        <v>0</v>
      </c>
      <c r="G9" s="16">
        <f>INDEX('1s.bezr.Pol'!B3:G19,MATCH(6,B4:B20,0),5)</f>
        <v>4.5999999999999996</v>
      </c>
      <c r="H9" s="26">
        <f>INDEX('1s.bezr.Pol'!B3:G19,MATCH(6,B4:B20,0),6)</f>
        <v>0.70000000000000018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5.5</v>
      </c>
      <c r="E10" s="16">
        <f>INDEX('1s.bezr.Pol'!B3:G19,MATCH(7,B4:B20,0),3)</f>
        <v>5.5</v>
      </c>
      <c r="F10" s="26">
        <f>INDEX('1s.bezr.Pol'!B3:G19,MATCH(7,B4:B20,0),4)</f>
        <v>0</v>
      </c>
      <c r="G10" s="16">
        <f>INDEX('1s.bezr.Pol'!B3:G19,MATCH(7,B4:B20,0),5)</f>
        <v>4.4000000000000004</v>
      </c>
      <c r="H10" s="26">
        <f>INDEX('1s.bezr.Pol'!B3:G19,MATCH(7,B4:B20,0),6)</f>
        <v>1.0999999999999996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2</v>
      </c>
      <c r="C11" s="18" t="str">
        <f>INDEX('1s.bezr.Pol'!B3:G19,MATCH(8,B4:B20,0),1)</f>
        <v>POLSKA</v>
      </c>
      <c r="D11" s="17">
        <f>INDEX('1s.bezr.Pol'!B3:G19,MATCH(8,B4:B20,0),2)</f>
        <v>5.6</v>
      </c>
      <c r="E11" s="19">
        <f>INDEX('1s.bezr.Pol'!B3:G19,MATCH(8,B4:B20,0),3)</f>
        <v>5.6</v>
      </c>
      <c r="F11" s="27">
        <f>INDEX('1s.bezr.Pol'!B3:G19,MATCH(8,B4:B20,0),4)</f>
        <v>0</v>
      </c>
      <c r="G11" s="19">
        <f>INDEX('1s.bezr.Pol'!B3:G19,MATCH(8,B4:B20,0),5)</f>
        <v>5</v>
      </c>
      <c r="H11" s="27">
        <f>INDEX('1s.bezr.Pol'!B3:G19,MATCH(8,B4:B20,0),6)</f>
        <v>0.59999999999999964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6.2</v>
      </c>
      <c r="E12" s="16">
        <f>INDEX('1s.bezr.Pol'!B3:G19,MATCH(9,B4:B20,0),3)</f>
        <v>6.2</v>
      </c>
      <c r="F12" s="26">
        <f>INDEX('1s.bezr.Pol'!B3:G19,MATCH(9,B4:B20,0),4)</f>
        <v>0</v>
      </c>
      <c r="G12" s="16">
        <f>INDEX('1s.bezr.Pol'!B3:G19,MATCH(9,B4:B20,0),5)</f>
        <v>5.3</v>
      </c>
      <c r="H12" s="26">
        <f>INDEX('1s.bezr.Pol'!B3:G19,MATCH(9,B4:B20,0),6)</f>
        <v>0.90000000000000036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16</v>
      </c>
      <c r="C13" s="3" t="str">
        <f>INDEX('1s.bezr.Pol'!B3:G19,MATCH(10,B4:B20,0),1)</f>
        <v>OPOLSKIE</v>
      </c>
      <c r="D13" s="5">
        <f>INDEX('1s.bezr.Pol'!B3:G19,MATCH(10,B4:B20,0),2)</f>
        <v>6.2</v>
      </c>
      <c r="E13" s="16">
        <f>INDEX('1s.bezr.Pol'!B3:G19,MATCH(10,B4:B20,0),3)</f>
        <v>6.2</v>
      </c>
      <c r="F13" s="26">
        <f>INDEX('1s.bezr.Pol'!B3:G19,MATCH(10,B4:B20,0),4)</f>
        <v>0</v>
      </c>
      <c r="G13" s="16">
        <f>INDEX('1s.bezr.Pol'!B3:G19,MATCH(10,B4:B20,0),5)</f>
        <v>5.7</v>
      </c>
      <c r="H13" s="26">
        <f>INDEX('1s.bezr.Pol'!B3:G19,MATCH(10,B4:B20,0),6)</f>
        <v>0.5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7.2</v>
      </c>
      <c r="E14" s="16">
        <f>INDEX('1s.bezr.Pol'!B3:G19,MATCH(11,B4:B20,0),3)</f>
        <v>7.3</v>
      </c>
      <c r="F14" s="26">
        <f>INDEX('1s.bezr.Pol'!B3:G19,MATCH(11,B4:B20,0),4)</f>
        <v>-9.9999999999999645E-2</v>
      </c>
      <c r="G14" s="16">
        <f>INDEX('1s.bezr.Pol'!B3:G19,MATCH(11,B4:B20,0),5)</f>
        <v>6.8</v>
      </c>
      <c r="H14" s="26">
        <f>INDEX('1s.bezr.Pol'!B3:G19,MATCH(11,B4:B20,0),6)</f>
        <v>0.40000000000000036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ZACHODNIOPOMORSKIE</v>
      </c>
      <c r="D15" s="5">
        <f>INDEX('1s.bezr.Pol'!B3:G19,MATCH(12,B4:B20,0),2)</f>
        <v>7.5</v>
      </c>
      <c r="E15" s="16">
        <f>INDEX('1s.bezr.Pol'!B3:G19,MATCH(12,B4:B20,0),3)</f>
        <v>7.4</v>
      </c>
      <c r="F15" s="26">
        <f>INDEX('1s.bezr.Pol'!B3:G19,MATCH(12,B4:B20,0),4)</f>
        <v>9.9999999999999645E-2</v>
      </c>
      <c r="G15" s="16">
        <f>INDEX('1s.bezr.Pol'!B3:G19,MATCH(12,B4:B20,0),5)</f>
        <v>6.6</v>
      </c>
      <c r="H15" s="26">
        <f>INDEX('1s.bezr.Pol'!B3:G19,MATCH(12,B4:B20,0),6)</f>
        <v>0.90000000000000036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3</v>
      </c>
      <c r="C16" s="3" t="str">
        <f>INDEX('1s.bezr.Pol'!B3:G19,MATCH(13,B4:B20,0),1)</f>
        <v>KUJAWSKO-POMORSKIE</v>
      </c>
      <c r="D16" s="5">
        <f>INDEX('1s.bezr.Pol'!B3:G19,MATCH(13,B4:B20,0),2)</f>
        <v>7.6</v>
      </c>
      <c r="E16" s="16">
        <f>INDEX('1s.bezr.Pol'!B3:G19,MATCH(13,B4:B20,0),3)</f>
        <v>7.7</v>
      </c>
      <c r="F16" s="26">
        <f>INDEX('1s.bezr.Pol'!B3:G19,MATCH(13,B4:B20,0),4)</f>
        <v>-0.10000000000000053</v>
      </c>
      <c r="G16" s="16">
        <f>INDEX('1s.bezr.Pol'!B3:G19,MATCH(13,B4:B20,0),5)</f>
        <v>7.1</v>
      </c>
      <c r="H16" s="26">
        <f>INDEX('1s.bezr.Pol'!B3:G19,MATCH(13,B4:B20,0),6)</f>
        <v>0.5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7.9</v>
      </c>
      <c r="E17" s="16">
        <f>INDEX('1s.bezr.Pol'!B3:G19,MATCH(14,B4:B20,0),3)</f>
        <v>7.9</v>
      </c>
      <c r="F17" s="26">
        <f>INDEX('1s.bezr.Pol'!B3:G19,MATCH(14,B4:B20,0),4)</f>
        <v>0</v>
      </c>
      <c r="G17" s="16">
        <f>INDEX('1s.bezr.Pol'!B3:G19,MATCH(14,B4:B20,0),5)</f>
        <v>7.2</v>
      </c>
      <c r="H17" s="26">
        <f>INDEX('1s.bezr.Pol'!B3:G19,MATCH(14,B4:B20,0),6)</f>
        <v>0.70000000000000018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17</v>
      </c>
      <c r="C18" s="3" t="str">
        <f>INDEX('1s.bezr.Pol'!B3:G19,MATCH(15,B4:B20,0),1)</f>
        <v>ŚWIĘTOKRZYSKIE</v>
      </c>
      <c r="D18" s="5">
        <f>INDEX('1s.bezr.Pol'!B3:G19,MATCH(15,B4:B20,0),2)</f>
        <v>8.1</v>
      </c>
      <c r="E18" s="16">
        <f>INDEX('1s.bezr.Pol'!B3:G19,MATCH(15,B4:B20,0),3)</f>
        <v>8.1</v>
      </c>
      <c r="F18" s="26">
        <f>INDEX('1s.bezr.Pol'!B3:G19,MATCH(15,B4:B20,0),4)</f>
        <v>0</v>
      </c>
      <c r="G18" s="16">
        <f>INDEX('1s.bezr.Pol'!B3:G19,MATCH(15,B4:B20,0),5)</f>
        <v>7.4</v>
      </c>
      <c r="H18" s="26">
        <f>INDEX('1s.bezr.Pol'!B3:G19,MATCH(15,B4:B20,0),6)</f>
        <v>0.69999999999999929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PODKARPACKIE</v>
      </c>
      <c r="D19" s="5">
        <f>INDEX('1s.bezr.Pol'!B3:G19,MATCH(16,B4:B20,0),2)</f>
        <v>9</v>
      </c>
      <c r="E19" s="16">
        <f>INDEX('1s.bezr.Pol'!B3:G19,MATCH(16,B4:B20,0),3)</f>
        <v>9</v>
      </c>
      <c r="F19" s="26">
        <f>INDEX('1s.bezr.Pol'!B3:G19,MATCH(16,B4:B20,0),4)</f>
        <v>0</v>
      </c>
      <c r="G19" s="16">
        <f>INDEX('1s.bezr.Pol'!B3:G19,MATCH(16,B4:B20,0),5)</f>
        <v>8.4</v>
      </c>
      <c r="H19" s="26">
        <f>INDEX('1s.bezr.Pol'!B3:G19,MATCH(16,B4:B20,0),6)</f>
        <v>0.59999999999999964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WARMIŃSKO-MAZURSKIE</v>
      </c>
      <c r="D20" s="5">
        <f>INDEX('1s.bezr.Pol'!B3:G19,MATCH(17,B4:B20,0),2)</f>
        <v>9</v>
      </c>
      <c r="E20" s="16">
        <f>INDEX('1s.bezr.Pol'!B3:G19,MATCH(17,B4:B20,0),3)</f>
        <v>8.9</v>
      </c>
      <c r="F20" s="26">
        <f>INDEX('1s.bezr.Pol'!B3:G19,MATCH(17,B4:B20,0),4)</f>
        <v>9.9999999999999645E-2</v>
      </c>
      <c r="G20" s="16">
        <f>INDEX('1s.bezr.Pol'!B3:G19,MATCH(17,B4:B20,0),5)</f>
        <v>8</v>
      </c>
      <c r="H20" s="26">
        <f>INDEX('1s.bezr.Pol'!B3:G19,MATCH(17,B4:B20,0),6)</f>
        <v>1</v>
      </c>
    </row>
    <row r="21" spans="1:8" x14ac:dyDescent="0.2">
      <c r="B21" s="20" t="str">
        <f>T('1s.bezr.Pol'!B20)</f>
        <v xml:space="preserve">* GUS, Bank Danych Lokalnych </v>
      </c>
    </row>
    <row r="22" spans="1:8" x14ac:dyDescent="0.2">
      <c r="B22" s="28"/>
    </row>
    <row r="23" spans="1:8" x14ac:dyDescent="0.2">
      <c r="B23" s="2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30" customWidth="1"/>
    <col min="2" max="2" width="8.42578125" style="31" customWidth="1"/>
    <col min="3" max="3" width="9" style="31" customWidth="1"/>
    <col min="4" max="4" width="15.28515625" style="31" customWidth="1"/>
    <col min="5" max="5" width="17.7109375" style="31" customWidth="1"/>
    <col min="6" max="6" width="11.140625" style="31" customWidth="1"/>
    <col min="7" max="7" width="13.5703125" style="31" customWidth="1"/>
    <col min="8" max="8" width="10.42578125" style="31" customWidth="1"/>
    <col min="9" max="9" width="14.140625" style="31" customWidth="1"/>
    <col min="10" max="10" width="2.140625" style="31" customWidth="1"/>
    <col min="11" max="11" width="11" style="31" customWidth="1"/>
    <col min="12" max="12" width="7" style="31" customWidth="1"/>
    <col min="13" max="13" width="11.140625" style="31" customWidth="1"/>
    <col min="14" max="14" width="4.7109375" style="31" customWidth="1"/>
    <col min="15" max="15" width="5" style="31" customWidth="1"/>
    <col min="16" max="16384" width="9.140625" style="31"/>
  </cols>
  <sheetData>
    <row r="1" spans="1:13" ht="16.5" customHeight="1" thickBot="1" x14ac:dyDescent="0.25">
      <c r="B1" s="1" t="s">
        <v>104</v>
      </c>
      <c r="E1" s="1" t="s">
        <v>24</v>
      </c>
      <c r="K1" s="2" t="s">
        <v>23</v>
      </c>
    </row>
    <row r="2" spans="1:13" ht="18" customHeight="1" x14ac:dyDescent="0.2">
      <c r="B2" s="59" t="s">
        <v>25</v>
      </c>
      <c r="C2" s="55" t="s">
        <v>1</v>
      </c>
      <c r="D2" s="44" t="s">
        <v>10</v>
      </c>
      <c r="E2" s="41" t="s">
        <v>26</v>
      </c>
      <c r="F2" s="42" t="s">
        <v>27</v>
      </c>
      <c r="G2" s="42" t="s">
        <v>28</v>
      </c>
      <c r="H2" s="43" t="s">
        <v>29</v>
      </c>
      <c r="I2" s="44" t="s">
        <v>30</v>
      </c>
      <c r="K2" s="59" t="s">
        <v>31</v>
      </c>
      <c r="L2" s="55" t="s">
        <v>32</v>
      </c>
      <c r="M2" s="44" t="s">
        <v>33</v>
      </c>
    </row>
    <row r="3" spans="1:13" x14ac:dyDescent="0.2">
      <c r="A3" s="32"/>
      <c r="B3" s="60" t="s">
        <v>34</v>
      </c>
      <c r="C3" s="56">
        <v>6.5</v>
      </c>
      <c r="D3" s="53"/>
      <c r="E3" s="66"/>
      <c r="F3" s="67"/>
      <c r="G3" s="67"/>
      <c r="H3" s="68"/>
      <c r="I3" s="69"/>
      <c r="K3" s="60" t="s">
        <v>69</v>
      </c>
      <c r="L3" s="56">
        <v>0.3</v>
      </c>
      <c r="M3" s="53"/>
    </row>
    <row r="4" spans="1:13" x14ac:dyDescent="0.2">
      <c r="A4" s="32"/>
      <c r="B4" s="60" t="s">
        <v>35</v>
      </c>
      <c r="C4" s="56">
        <v>12.2</v>
      </c>
      <c r="D4" s="53"/>
      <c r="E4" s="66"/>
      <c r="F4" s="67"/>
      <c r="G4" s="67"/>
      <c r="H4" s="68"/>
      <c r="I4" s="69"/>
      <c r="K4" s="60" t="s">
        <v>70</v>
      </c>
      <c r="L4" s="56">
        <v>6.6</v>
      </c>
      <c r="M4" s="53"/>
    </row>
    <row r="5" spans="1:13" x14ac:dyDescent="0.2">
      <c r="A5" s="32"/>
      <c r="B5" s="60" t="s">
        <v>36</v>
      </c>
      <c r="C5" s="56">
        <v>14.3</v>
      </c>
      <c r="D5" s="53"/>
      <c r="E5" s="66"/>
      <c r="F5" s="67"/>
      <c r="G5" s="67"/>
      <c r="H5" s="68"/>
      <c r="I5" s="69"/>
      <c r="K5" s="60" t="s">
        <v>71</v>
      </c>
      <c r="L5" s="56">
        <v>12.1</v>
      </c>
      <c r="M5" s="53"/>
    </row>
    <row r="6" spans="1:13" x14ac:dyDescent="0.2">
      <c r="A6" s="32"/>
      <c r="B6" s="60" t="s">
        <v>37</v>
      </c>
      <c r="C6" s="56">
        <v>16.399999999999999</v>
      </c>
      <c r="D6" s="53"/>
      <c r="E6" s="66"/>
      <c r="F6" s="67"/>
      <c r="G6" s="67"/>
      <c r="H6" s="68"/>
      <c r="I6" s="69"/>
      <c r="K6" s="60" t="s">
        <v>72</v>
      </c>
      <c r="L6" s="56">
        <v>14.2</v>
      </c>
      <c r="M6" s="53"/>
    </row>
    <row r="7" spans="1:13" x14ac:dyDescent="0.2">
      <c r="A7" s="32"/>
      <c r="B7" s="60" t="s">
        <v>38</v>
      </c>
      <c r="C7" s="57">
        <v>16</v>
      </c>
      <c r="D7" s="53"/>
      <c r="E7" s="66"/>
      <c r="F7" s="67"/>
      <c r="G7" s="67"/>
      <c r="H7" s="68"/>
      <c r="I7" s="69"/>
      <c r="K7" s="60" t="s">
        <v>73</v>
      </c>
      <c r="L7" s="56">
        <v>16.7</v>
      </c>
      <c r="M7" s="53"/>
    </row>
    <row r="8" spans="1:13" x14ac:dyDescent="0.2">
      <c r="A8" s="32"/>
      <c r="B8" s="60" t="s">
        <v>39</v>
      </c>
      <c r="C8" s="56">
        <v>14.9</v>
      </c>
      <c r="D8" s="53"/>
      <c r="E8" s="66"/>
      <c r="F8" s="67"/>
      <c r="G8" s="67"/>
      <c r="H8" s="68"/>
      <c r="I8" s="69"/>
      <c r="K8" s="60" t="s">
        <v>74</v>
      </c>
      <c r="L8" s="56">
        <v>16.100000000000001</v>
      </c>
      <c r="M8" s="53"/>
    </row>
    <row r="9" spans="1:13" x14ac:dyDescent="0.2">
      <c r="A9" s="32"/>
      <c r="B9" s="60" t="s">
        <v>40</v>
      </c>
      <c r="C9" s="56">
        <v>13.2</v>
      </c>
      <c r="D9" s="53"/>
      <c r="E9" s="66"/>
      <c r="F9" s="67"/>
      <c r="G9" s="67"/>
      <c r="H9" s="68"/>
      <c r="I9" s="69"/>
      <c r="K9" s="60" t="s">
        <v>75</v>
      </c>
      <c r="L9" s="56">
        <v>15.4</v>
      </c>
      <c r="M9" s="53"/>
    </row>
    <row r="10" spans="1:13" x14ac:dyDescent="0.2">
      <c r="A10" s="32"/>
      <c r="B10" s="60" t="s">
        <v>41</v>
      </c>
      <c r="C10" s="56">
        <v>10.3</v>
      </c>
      <c r="D10" s="53"/>
      <c r="E10" s="66"/>
      <c r="F10" s="67"/>
      <c r="G10" s="67"/>
      <c r="H10" s="68"/>
      <c r="I10" s="69"/>
      <c r="K10" s="60" t="s">
        <v>76</v>
      </c>
      <c r="L10" s="56">
        <v>13.1</v>
      </c>
      <c r="M10" s="53"/>
    </row>
    <row r="11" spans="1:13" x14ac:dyDescent="0.2">
      <c r="A11" s="32"/>
      <c r="B11" s="60" t="s">
        <v>42</v>
      </c>
      <c r="C11" s="56">
        <v>10.4</v>
      </c>
      <c r="D11" s="51">
        <v>12.4</v>
      </c>
      <c r="E11" s="45">
        <v>137367</v>
      </c>
      <c r="F11" s="34">
        <v>77793</v>
      </c>
      <c r="G11" s="34">
        <f>SUM(E11-F11)</f>
        <v>59574</v>
      </c>
      <c r="H11" s="33">
        <f t="shared" ref="H11:H37" si="0">SUM(F11)/E11*100</f>
        <v>56.631505383389026</v>
      </c>
      <c r="I11" s="46">
        <f>SUM(E11-F11)/E11*100</f>
        <v>43.368494616610974</v>
      </c>
      <c r="K11" s="60" t="s">
        <v>77</v>
      </c>
      <c r="L11" s="56">
        <v>10.7</v>
      </c>
      <c r="M11" s="53"/>
    </row>
    <row r="12" spans="1:13" x14ac:dyDescent="0.2">
      <c r="A12" s="32"/>
      <c r="B12" s="60" t="s">
        <v>43</v>
      </c>
      <c r="C12" s="56">
        <v>13.1</v>
      </c>
      <c r="D12" s="51">
        <v>14.5</v>
      </c>
      <c r="E12" s="45">
        <v>164692</v>
      </c>
      <c r="F12" s="34">
        <v>87827</v>
      </c>
      <c r="G12" s="34">
        <f t="shared" ref="G12:G36" si="1">SUM(E12-F12)</f>
        <v>76865</v>
      </c>
      <c r="H12" s="33">
        <f t="shared" si="0"/>
        <v>53.328030505428316</v>
      </c>
      <c r="I12" s="46">
        <f t="shared" ref="I12:I27" si="2">SUM(E12-F12)/E12*100</f>
        <v>46.671969494571684</v>
      </c>
      <c r="K12" s="60" t="s">
        <v>78</v>
      </c>
      <c r="L12" s="56">
        <v>11.4</v>
      </c>
      <c r="M12" s="51">
        <v>13.2</v>
      </c>
    </row>
    <row r="13" spans="1:13" x14ac:dyDescent="0.2">
      <c r="A13" s="32"/>
      <c r="B13" s="64" t="s">
        <v>44</v>
      </c>
      <c r="C13" s="62">
        <v>15.1</v>
      </c>
      <c r="D13" s="52">
        <v>15.9</v>
      </c>
      <c r="E13" s="48">
        <v>182168</v>
      </c>
      <c r="F13" s="36">
        <v>97270</v>
      </c>
      <c r="G13" s="36">
        <f t="shared" si="1"/>
        <v>84898</v>
      </c>
      <c r="H13" s="35">
        <f t="shared" si="0"/>
        <v>53.395766545167099</v>
      </c>
      <c r="I13" s="47">
        <f t="shared" si="2"/>
        <v>46.604233454832901</v>
      </c>
      <c r="K13" s="60" t="s">
        <v>79</v>
      </c>
      <c r="L13" s="56">
        <v>13.7</v>
      </c>
      <c r="M13" s="51">
        <v>15.1</v>
      </c>
    </row>
    <row r="14" spans="1:13" x14ac:dyDescent="0.2">
      <c r="A14" s="32"/>
      <c r="B14" s="64" t="s">
        <v>45</v>
      </c>
      <c r="C14" s="62">
        <v>17.5</v>
      </c>
      <c r="D14" s="52">
        <v>17.3</v>
      </c>
      <c r="E14" s="48">
        <v>195173</v>
      </c>
      <c r="F14" s="36">
        <v>100472</v>
      </c>
      <c r="G14" s="36">
        <f t="shared" si="1"/>
        <v>94701</v>
      </c>
      <c r="H14" s="35">
        <f t="shared" si="0"/>
        <v>51.478431955239714</v>
      </c>
      <c r="I14" s="47">
        <f t="shared" si="2"/>
        <v>48.521568044760286</v>
      </c>
      <c r="K14" s="60" t="s">
        <v>80</v>
      </c>
      <c r="L14" s="56">
        <v>15.7</v>
      </c>
      <c r="M14" s="51">
        <v>16.399999999999999</v>
      </c>
    </row>
    <row r="15" spans="1:13" x14ac:dyDescent="0.2">
      <c r="A15" s="32"/>
      <c r="B15" s="64" t="s">
        <v>46</v>
      </c>
      <c r="C15" s="63">
        <v>18</v>
      </c>
      <c r="D15" s="52">
        <v>16.899999999999999</v>
      </c>
      <c r="E15" s="48">
        <v>187519</v>
      </c>
      <c r="F15" s="36">
        <v>93772</v>
      </c>
      <c r="G15" s="36">
        <f t="shared" si="1"/>
        <v>93747</v>
      </c>
      <c r="H15" s="35">
        <f t="shared" si="0"/>
        <v>50.006665991179553</v>
      </c>
      <c r="I15" s="47">
        <f t="shared" si="2"/>
        <v>49.99333400882044</v>
      </c>
      <c r="K15" s="60" t="s">
        <v>82</v>
      </c>
      <c r="L15" s="56">
        <v>18.100000000000001</v>
      </c>
      <c r="M15" s="51">
        <v>17.8</v>
      </c>
    </row>
    <row r="16" spans="1:13" x14ac:dyDescent="0.2">
      <c r="A16" s="32"/>
      <c r="B16" s="64" t="s">
        <v>47</v>
      </c>
      <c r="C16" s="63">
        <v>20</v>
      </c>
      <c r="D16" s="52">
        <v>16.7</v>
      </c>
      <c r="E16" s="48">
        <v>182497</v>
      </c>
      <c r="F16" s="36">
        <v>92598</v>
      </c>
      <c r="G16" s="36">
        <f t="shared" si="1"/>
        <v>89899</v>
      </c>
      <c r="H16" s="35">
        <f t="shared" si="0"/>
        <v>50.739464210370578</v>
      </c>
      <c r="I16" s="47">
        <f t="shared" si="2"/>
        <v>49.260535789629415</v>
      </c>
      <c r="K16" s="60" t="s">
        <v>83</v>
      </c>
      <c r="L16" s="56">
        <v>20.6</v>
      </c>
      <c r="M16" s="51">
        <v>17.3</v>
      </c>
    </row>
    <row r="17" spans="1:13" x14ac:dyDescent="0.2">
      <c r="A17" s="32"/>
      <c r="B17" s="64" t="s">
        <v>48</v>
      </c>
      <c r="C17" s="63">
        <v>19</v>
      </c>
      <c r="D17" s="52">
        <v>19.100000000000001</v>
      </c>
      <c r="E17" s="48">
        <v>170293</v>
      </c>
      <c r="F17" s="36">
        <v>88723</v>
      </c>
      <c r="G17" s="36">
        <f t="shared" si="1"/>
        <v>81570</v>
      </c>
      <c r="H17" s="35">
        <f t="shared" si="0"/>
        <v>52.100203766449596</v>
      </c>
      <c r="I17" s="47">
        <f t="shared" si="2"/>
        <v>47.899796233550411</v>
      </c>
      <c r="K17" s="60" t="s">
        <v>81</v>
      </c>
      <c r="L17" s="56">
        <v>20.6</v>
      </c>
      <c r="M17" s="51">
        <v>19.100000000000001</v>
      </c>
    </row>
    <row r="18" spans="1:13" x14ac:dyDescent="0.2">
      <c r="A18" s="32"/>
      <c r="B18" s="64" t="s">
        <v>49</v>
      </c>
      <c r="C18" s="62">
        <v>17.600000000000001</v>
      </c>
      <c r="D18" s="52">
        <v>18.399999999999999</v>
      </c>
      <c r="E18" s="48">
        <v>163956</v>
      </c>
      <c r="F18" s="36">
        <v>87626</v>
      </c>
      <c r="G18" s="36">
        <f t="shared" si="1"/>
        <v>76330</v>
      </c>
      <c r="H18" s="35">
        <f t="shared" si="0"/>
        <v>53.444826660811437</v>
      </c>
      <c r="I18" s="47">
        <f t="shared" si="2"/>
        <v>46.555173339188563</v>
      </c>
      <c r="K18" s="60" t="s">
        <v>84</v>
      </c>
      <c r="L18" s="56">
        <v>19.399999999999999</v>
      </c>
      <c r="M18" s="51">
        <v>18.5</v>
      </c>
    </row>
    <row r="19" spans="1:13" x14ac:dyDescent="0.2">
      <c r="A19" s="32"/>
      <c r="B19" s="64" t="s">
        <v>50</v>
      </c>
      <c r="C19" s="62">
        <v>14.8</v>
      </c>
      <c r="D19" s="52">
        <v>16.399999999999999</v>
      </c>
      <c r="E19" s="48">
        <v>145246</v>
      </c>
      <c r="F19" s="36">
        <v>81490</v>
      </c>
      <c r="G19" s="36">
        <f t="shared" si="1"/>
        <v>63756</v>
      </c>
      <c r="H19" s="35">
        <f t="shared" si="0"/>
        <v>56.104815278906131</v>
      </c>
      <c r="I19" s="47">
        <f t="shared" si="2"/>
        <v>43.895184721093869</v>
      </c>
      <c r="K19" s="60" t="s">
        <v>85</v>
      </c>
      <c r="L19" s="57">
        <v>18</v>
      </c>
      <c r="M19" s="51">
        <v>16.399999999999999</v>
      </c>
    </row>
    <row r="20" spans="1:13" x14ac:dyDescent="0.2">
      <c r="A20" s="32"/>
      <c r="B20" s="64" t="s">
        <v>51</v>
      </c>
      <c r="C20" s="62">
        <v>11.2</v>
      </c>
      <c r="D20" s="52">
        <v>14.2</v>
      </c>
      <c r="E20" s="48">
        <v>126360</v>
      </c>
      <c r="F20" s="36">
        <v>73127</v>
      </c>
      <c r="G20" s="36">
        <f t="shared" si="1"/>
        <v>53233</v>
      </c>
      <c r="H20" s="35">
        <f t="shared" si="0"/>
        <v>57.871953149730928</v>
      </c>
      <c r="I20" s="47">
        <f t="shared" si="2"/>
        <v>42.128046850269072</v>
      </c>
      <c r="K20" s="60" t="s">
        <v>86</v>
      </c>
      <c r="L20" s="56">
        <v>15.1</v>
      </c>
      <c r="M20" s="51">
        <v>14.2</v>
      </c>
    </row>
    <row r="21" spans="1:13" x14ac:dyDescent="0.2">
      <c r="A21" s="32"/>
      <c r="B21" s="64" t="s">
        <v>52</v>
      </c>
      <c r="C21" s="62">
        <v>9.5</v>
      </c>
      <c r="D21" s="47">
        <v>13</v>
      </c>
      <c r="E21" s="48">
        <v>115567</v>
      </c>
      <c r="F21" s="36">
        <v>64122</v>
      </c>
      <c r="G21" s="36">
        <f t="shared" si="1"/>
        <v>51445</v>
      </c>
      <c r="H21" s="35">
        <f t="shared" si="0"/>
        <v>55.484697188643814</v>
      </c>
      <c r="I21" s="47">
        <f t="shared" si="2"/>
        <v>44.515302811356186</v>
      </c>
      <c r="K21" s="60" t="s">
        <v>87</v>
      </c>
      <c r="L21" s="56">
        <v>11.5</v>
      </c>
      <c r="M21" s="51">
        <v>14.8</v>
      </c>
    </row>
    <row r="22" spans="1:13" x14ac:dyDescent="0.2">
      <c r="A22" s="32"/>
      <c r="B22" s="64" t="s">
        <v>53</v>
      </c>
      <c r="C22" s="62">
        <v>12.1</v>
      </c>
      <c r="D22" s="52">
        <v>15.9</v>
      </c>
      <c r="E22" s="48">
        <v>141944</v>
      </c>
      <c r="F22" s="36">
        <v>71158</v>
      </c>
      <c r="G22" s="36">
        <f t="shared" si="1"/>
        <v>70786</v>
      </c>
      <c r="H22" s="35">
        <f t="shared" si="0"/>
        <v>50.131037592289914</v>
      </c>
      <c r="I22" s="47">
        <f t="shared" si="2"/>
        <v>49.868962407710086</v>
      </c>
      <c r="K22" s="60" t="s">
        <v>88</v>
      </c>
      <c r="L22" s="56">
        <v>10.4</v>
      </c>
      <c r="M22" s="46">
        <v>14</v>
      </c>
    </row>
    <row r="23" spans="1:13" x14ac:dyDescent="0.2">
      <c r="A23" s="32"/>
      <c r="B23" s="64" t="s">
        <v>54</v>
      </c>
      <c r="C23" s="62">
        <v>12.4</v>
      </c>
      <c r="D23" s="52">
        <v>15.4</v>
      </c>
      <c r="E23" s="48">
        <v>142263</v>
      </c>
      <c r="F23" s="36">
        <v>73359</v>
      </c>
      <c r="G23" s="36">
        <f t="shared" si="1"/>
        <v>68904</v>
      </c>
      <c r="H23" s="35">
        <f t="shared" si="0"/>
        <v>51.565762004175362</v>
      </c>
      <c r="I23" s="47">
        <f t="shared" si="2"/>
        <v>48.434237995824638</v>
      </c>
      <c r="K23" s="60" t="s">
        <v>89</v>
      </c>
      <c r="L23" s="56">
        <v>12.9</v>
      </c>
      <c r="M23" s="51">
        <v>16.7</v>
      </c>
    </row>
    <row r="24" spans="1:13" x14ac:dyDescent="0.2">
      <c r="A24" s="32"/>
      <c r="B24" s="60" t="s">
        <v>55</v>
      </c>
      <c r="C24" s="56">
        <v>12.5</v>
      </c>
      <c r="D24" s="51">
        <v>15.5</v>
      </c>
      <c r="E24" s="45">
        <v>146208</v>
      </c>
      <c r="F24" s="34">
        <v>77403</v>
      </c>
      <c r="G24" s="34">
        <f t="shared" si="1"/>
        <v>68805</v>
      </c>
      <c r="H24" s="33">
        <f t="shared" si="0"/>
        <v>52.940331582403154</v>
      </c>
      <c r="I24" s="46">
        <f t="shared" si="2"/>
        <v>47.059668417596853</v>
      </c>
      <c r="K24" s="60" t="s">
        <v>90</v>
      </c>
      <c r="L24" s="56">
        <v>13.1</v>
      </c>
      <c r="M24" s="46">
        <v>16</v>
      </c>
    </row>
    <row r="25" spans="1:13" x14ac:dyDescent="0.2">
      <c r="A25" s="32"/>
      <c r="B25" s="60" t="s">
        <v>56</v>
      </c>
      <c r="C25" s="56">
        <v>13.4</v>
      </c>
      <c r="D25" s="51">
        <v>16.399999999999999</v>
      </c>
      <c r="E25" s="45">
        <v>153807</v>
      </c>
      <c r="F25" s="34">
        <v>77880</v>
      </c>
      <c r="G25" s="34">
        <f t="shared" si="1"/>
        <v>75927</v>
      </c>
      <c r="H25" s="33">
        <f t="shared" si="0"/>
        <v>50.634886578634266</v>
      </c>
      <c r="I25" s="46">
        <f t="shared" si="2"/>
        <v>49.365113421365734</v>
      </c>
      <c r="K25" s="60" t="s">
        <v>91</v>
      </c>
      <c r="L25" s="56">
        <v>13.2</v>
      </c>
      <c r="M25" s="51">
        <v>16.2</v>
      </c>
    </row>
    <row r="26" spans="1:13" x14ac:dyDescent="0.2">
      <c r="A26" s="32"/>
      <c r="B26" s="60" t="s">
        <v>57</v>
      </c>
      <c r="C26" s="56">
        <v>13.4</v>
      </c>
      <c r="D26" s="51">
        <v>16.3</v>
      </c>
      <c r="E26" s="45">
        <v>154216</v>
      </c>
      <c r="F26" s="34">
        <v>77415</v>
      </c>
      <c r="G26" s="34">
        <f t="shared" si="1"/>
        <v>76801</v>
      </c>
      <c r="H26" s="33">
        <f t="shared" si="0"/>
        <v>50.19907143227681</v>
      </c>
      <c r="I26" s="46">
        <f t="shared" si="2"/>
        <v>49.800928567723197</v>
      </c>
      <c r="K26" s="60" t="s">
        <v>92</v>
      </c>
      <c r="L26" s="56">
        <v>14.2</v>
      </c>
      <c r="M26" s="51">
        <v>16.3</v>
      </c>
    </row>
    <row r="27" spans="1:13" x14ac:dyDescent="0.2">
      <c r="A27" s="32"/>
      <c r="B27" s="60" t="s">
        <v>58</v>
      </c>
      <c r="C27" s="56">
        <v>11.4</v>
      </c>
      <c r="D27" s="51">
        <v>14.6</v>
      </c>
      <c r="E27" s="45">
        <v>137932</v>
      </c>
      <c r="F27" s="34">
        <v>70305</v>
      </c>
      <c r="G27" s="34">
        <f t="shared" si="1"/>
        <v>67627</v>
      </c>
      <c r="H27" s="33">
        <f t="shared" si="0"/>
        <v>50.970768204622566</v>
      </c>
      <c r="I27" s="46">
        <f t="shared" si="2"/>
        <v>49.029231795377434</v>
      </c>
      <c r="K27" s="60" t="s">
        <v>93</v>
      </c>
      <c r="L27" s="56">
        <v>13.9</v>
      </c>
      <c r="M27" s="51">
        <v>14.8</v>
      </c>
    </row>
    <row r="28" spans="1:13" x14ac:dyDescent="0.2">
      <c r="A28" s="32"/>
      <c r="B28" s="60" t="s">
        <v>59</v>
      </c>
      <c r="C28" s="56">
        <v>9.6999999999999993</v>
      </c>
      <c r="D28" s="51">
        <v>13.2</v>
      </c>
      <c r="E28" s="48">
        <v>123514</v>
      </c>
      <c r="F28" s="36">
        <v>63579</v>
      </c>
      <c r="G28" s="36">
        <f t="shared" si="1"/>
        <v>59935</v>
      </c>
      <c r="H28" s="37">
        <f t="shared" si="0"/>
        <v>51.475136421782139</v>
      </c>
      <c r="I28" s="49">
        <f>SUM(E28-F28)/E28*100</f>
        <v>48.524863578217854</v>
      </c>
      <c r="K28" s="60" t="s">
        <v>94</v>
      </c>
      <c r="L28" s="57">
        <v>12</v>
      </c>
      <c r="M28" s="51">
        <v>15.2</v>
      </c>
    </row>
    <row r="29" spans="1:13" x14ac:dyDescent="0.2">
      <c r="A29" s="32"/>
      <c r="B29" s="60" t="s">
        <v>60</v>
      </c>
      <c r="C29" s="56">
        <v>8.1999999999999993</v>
      </c>
      <c r="D29" s="51">
        <v>11.5</v>
      </c>
      <c r="E29" s="48">
        <v>107567</v>
      </c>
      <c r="F29" s="36">
        <v>56384</v>
      </c>
      <c r="G29" s="36">
        <f>SUM(E29-F29)</f>
        <v>51183</v>
      </c>
      <c r="H29" s="37">
        <f t="shared" si="0"/>
        <v>52.417563007241995</v>
      </c>
      <c r="I29" s="49">
        <f t="shared" ref="I29:I35" si="3">SUM(E29-F29)/E29*100</f>
        <v>47.582436992758005</v>
      </c>
      <c r="K29" s="60" t="s">
        <v>95</v>
      </c>
      <c r="L29" s="57">
        <v>8.3000000000000007</v>
      </c>
      <c r="M29" s="51">
        <v>11.6</v>
      </c>
    </row>
    <row r="30" spans="1:13" x14ac:dyDescent="0.2">
      <c r="A30" s="32"/>
      <c r="B30" s="60" t="s">
        <v>61</v>
      </c>
      <c r="C30" s="56">
        <v>6.6</v>
      </c>
      <c r="D30" s="51">
        <v>9.6</v>
      </c>
      <c r="E30" s="48">
        <v>90972</v>
      </c>
      <c r="F30" s="36">
        <v>48619</v>
      </c>
      <c r="G30" s="36">
        <f t="shared" si="1"/>
        <v>42353</v>
      </c>
      <c r="H30" s="37">
        <f t="shared" si="0"/>
        <v>53.443916809567781</v>
      </c>
      <c r="I30" s="49">
        <f t="shared" si="3"/>
        <v>46.556083190432226</v>
      </c>
      <c r="K30" s="60" t="s">
        <v>96</v>
      </c>
      <c r="L30" s="56">
        <v>8.5</v>
      </c>
      <c r="M30" s="51">
        <v>11.8</v>
      </c>
    </row>
    <row r="31" spans="1:13" x14ac:dyDescent="0.2">
      <c r="A31" s="32"/>
      <c r="B31" s="60" t="s">
        <v>62</v>
      </c>
      <c r="C31" s="56">
        <v>5.8</v>
      </c>
      <c r="D31" s="51">
        <v>8.6999999999999993</v>
      </c>
      <c r="E31" s="48">
        <v>82933</v>
      </c>
      <c r="F31" s="36">
        <v>45024</v>
      </c>
      <c r="G31" s="36">
        <f t="shared" si="1"/>
        <v>37909</v>
      </c>
      <c r="H31" s="37">
        <f t="shared" si="0"/>
        <v>54.289607273341133</v>
      </c>
      <c r="I31" s="49">
        <f t="shared" si="3"/>
        <v>45.710392726658874</v>
      </c>
      <c r="K31" s="60" t="s">
        <v>97</v>
      </c>
      <c r="L31" s="56">
        <v>6.8</v>
      </c>
      <c r="M31" s="51">
        <v>9.9</v>
      </c>
    </row>
    <row r="32" spans="1:13" x14ac:dyDescent="0.2">
      <c r="A32" s="32"/>
      <c r="B32" s="60" t="s">
        <v>63</v>
      </c>
      <c r="C32" s="56">
        <v>5.2</v>
      </c>
      <c r="D32" s="51">
        <v>7.9</v>
      </c>
      <c r="E32" s="48">
        <v>75455</v>
      </c>
      <c r="F32" s="36">
        <v>40284</v>
      </c>
      <c r="G32" s="36">
        <f t="shared" si="1"/>
        <v>35171</v>
      </c>
      <c r="H32" s="37">
        <f t="shared" si="0"/>
        <v>53.388112119806507</v>
      </c>
      <c r="I32" s="49">
        <f t="shared" si="3"/>
        <v>46.611887880193493</v>
      </c>
      <c r="K32" s="60" t="s">
        <v>98</v>
      </c>
      <c r="L32" s="56">
        <v>6.1</v>
      </c>
      <c r="M32" s="46">
        <v>9</v>
      </c>
    </row>
    <row r="33" spans="1:13" x14ac:dyDescent="0.2">
      <c r="A33" s="32"/>
      <c r="B33" s="60" t="s">
        <v>64</v>
      </c>
      <c r="C33" s="56">
        <v>6.3</v>
      </c>
      <c r="D33" s="51">
        <v>9.1</v>
      </c>
      <c r="E33" s="48">
        <v>87326</v>
      </c>
      <c r="F33" s="36">
        <v>46036</v>
      </c>
      <c r="G33" s="36">
        <f t="shared" si="1"/>
        <v>41290</v>
      </c>
      <c r="H33" s="37">
        <f t="shared" si="0"/>
        <v>52.717403751460047</v>
      </c>
      <c r="I33" s="49">
        <f t="shared" si="3"/>
        <v>47.282596248539953</v>
      </c>
      <c r="K33" s="60" t="s">
        <v>99</v>
      </c>
      <c r="L33" s="56">
        <v>5.5</v>
      </c>
      <c r="M33" s="51">
        <v>8.3000000000000007</v>
      </c>
    </row>
    <row r="34" spans="1:13" x14ac:dyDescent="0.2">
      <c r="A34" s="32"/>
      <c r="B34" s="60" t="s">
        <v>65</v>
      </c>
      <c r="C34" s="56">
        <v>5.8</v>
      </c>
      <c r="D34" s="51">
        <v>9.9</v>
      </c>
      <c r="E34" s="48">
        <v>77291</v>
      </c>
      <c r="F34" s="36">
        <v>41090</v>
      </c>
      <c r="G34" s="36">
        <f t="shared" si="1"/>
        <v>36201</v>
      </c>
      <c r="H34" s="37">
        <f t="shared" si="0"/>
        <v>53.16272269733863</v>
      </c>
      <c r="I34" s="49">
        <f t="shared" si="3"/>
        <v>46.83727730266137</v>
      </c>
      <c r="K34" s="60" t="s">
        <v>100</v>
      </c>
      <c r="L34" s="56">
        <v>6.5</v>
      </c>
      <c r="M34" s="51">
        <v>9.5</v>
      </c>
    </row>
    <row r="35" spans="1:13" x14ac:dyDescent="0.2">
      <c r="A35" s="32"/>
      <c r="B35" s="60" t="s">
        <v>66</v>
      </c>
      <c r="C35" s="56">
        <v>5.2</v>
      </c>
      <c r="D35" s="51">
        <v>8.8000000000000007</v>
      </c>
      <c r="E35" s="48">
        <v>69046</v>
      </c>
      <c r="F35" s="36">
        <v>36088</v>
      </c>
      <c r="G35" s="36">
        <f t="shared" si="1"/>
        <v>32958</v>
      </c>
      <c r="H35" s="37">
        <f t="shared" si="0"/>
        <v>52.266604872114243</v>
      </c>
      <c r="I35" s="49">
        <f t="shared" si="3"/>
        <v>47.733395127885757</v>
      </c>
      <c r="K35" s="60" t="s">
        <v>101</v>
      </c>
      <c r="L35" s="56">
        <v>5.9</v>
      </c>
      <c r="M35" s="51">
        <v>10.1</v>
      </c>
    </row>
    <row r="36" spans="1:13" x14ac:dyDescent="0.2">
      <c r="A36" s="32"/>
      <c r="B36" s="60" t="s">
        <v>67</v>
      </c>
      <c r="C36" s="57">
        <v>5.0999999999999996</v>
      </c>
      <c r="D36" s="51">
        <v>8.6</v>
      </c>
      <c r="E36" s="48">
        <v>67653</v>
      </c>
      <c r="F36" s="36">
        <v>41090</v>
      </c>
      <c r="G36" s="36">
        <f t="shared" si="1"/>
        <v>26563</v>
      </c>
      <c r="H36" s="37">
        <f t="shared" si="0"/>
        <v>60.736404889657514</v>
      </c>
      <c r="I36" s="49">
        <f>SUM(E36-F36)/E36*100</f>
        <v>39.263595110342479</v>
      </c>
      <c r="K36" s="60" t="s">
        <v>102</v>
      </c>
      <c r="L36" s="56">
        <v>5.5</v>
      </c>
      <c r="M36" s="51">
        <v>9.1999999999999993</v>
      </c>
    </row>
    <row r="37" spans="1:13" ht="12.75" thickBot="1" x14ac:dyDescent="0.25">
      <c r="B37" s="61" t="s">
        <v>68</v>
      </c>
      <c r="C37" s="58">
        <v>5.0999999999999996</v>
      </c>
      <c r="D37" s="50">
        <v>8.6999999999999993</v>
      </c>
      <c r="E37" s="72">
        <v>67336</v>
      </c>
      <c r="F37" s="73">
        <v>33994</v>
      </c>
      <c r="G37" s="73">
        <f>SUM(E37-F37)</f>
        <v>33342</v>
      </c>
      <c r="H37" s="70">
        <f t="shared" si="0"/>
        <v>50.484139242010215</v>
      </c>
      <c r="I37" s="54">
        <f>SUM(E37-F37)/E37*100</f>
        <v>49.515860757989785</v>
      </c>
      <c r="K37" s="61" t="s">
        <v>103</v>
      </c>
      <c r="L37" s="58">
        <v>5.4</v>
      </c>
      <c r="M37" s="54">
        <v>9</v>
      </c>
    </row>
    <row r="38" spans="1:13" x14ac:dyDescent="0.2">
      <c r="B38" s="31" t="s">
        <v>105</v>
      </c>
    </row>
    <row r="40" spans="1:13" x14ac:dyDescent="0.2">
      <c r="F40" s="65"/>
    </row>
    <row r="46" spans="1:13" x14ac:dyDescent="0.2">
      <c r="I46" s="7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1s.bezr.Pol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2026-01-08T08:38:06Z</dcterms:modified>
</cp:coreProperties>
</file>