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91ED0B86-4E3A-49CF-A717-E38A3973D0DF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<sst xmlns="http://schemas.openxmlformats.org/spreadsheetml/2006/main" count="149" uniqueCount="140">
  <si>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</si>
  <si>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</si>
  <si>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</si>
  <si>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</si>
  <si>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</si>
  <si>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</si>
  <si>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</si>
  <si>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</si>
  <si>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</si>
  <si>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</si>
  <si>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</si>
  <si>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</si>
  <si>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</si>
  <si>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</si>
  <si>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</si>
  <si>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</si>
  <si>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</si>
  <si>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</si>
  <si>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</si>
  <si>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</si>
  <si>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</si>
  <si>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</si>
  <si>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</si>
  <si>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</si>
  <si>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</si>
  <si>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</si>
  <si>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</si>
  <si>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</si>
  <si>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</si>
  <si>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</si>
  <si>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</si>
  <si>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</si>
  <si>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</si>
  <si>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</si>
  <si>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</si>
  <si>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</si>
  <si>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</si>
  <si>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</si>
  <si>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</si>
  <si>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</si>
  <si>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</si>
  <si>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</si>
  <si>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</si>
  <si>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</si>
  <si>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</si>
  <si>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</si>
  <si>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</si>
  <si>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</si>
  <si>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</si>
  <si>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</si>
  <si>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</si>
  <si>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</si>
  <si>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</si>
  <si>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</si>
  <si>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</si>
  <si>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</si>
  <si>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</si>
  <si>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</si>
  <si>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</si>
  <si>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</si>
  <si>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</si>
  <si>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</si>
  <si>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</si>
  <si>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</si>
  <si>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</si>
  <si>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</si>
  <si>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</si>
  <si>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</si>
  <si>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</si>
  <si>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</si>
  <si>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</si>
  <si>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</si>
  <si>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</si>
  <si>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</si>
  <si>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</si>
  <si>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</si>
  <si>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</si>
  <si>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</si>
  <si>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</si>
  <si>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</si>
  <si>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</si>
  <si>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</si>
  <si>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</si>
  <si>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</si>
  <si>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</si>
  <si>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</si>
  <si>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</si>
  <si>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</si>
  <si>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</si>
  <si>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</si>
  <si>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</si>
  <si>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</si>
  <si>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</si>
  <si>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</si>
  <si>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</si>
  <si>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</si>
  <si>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</si>
  <si>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</si>
  <si>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</si>
  <si>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</si>
  <si>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</si>
  <si>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</si>
  <si>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</si>
  <si>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</si>
  <si>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</si>
  <si>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</si>
  <si>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</si>
  <si>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</si>
  <si>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</si>
  <si>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</si>
  <si>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</si>
  <si>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</si>
  <si>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</si>
  <si>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</si>
  <si>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</si>
  <si>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</si>
  <si>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</si>
  <si>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</si>
  <si>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</si>
  <si>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</si>
  <si>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</si>
  <si>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</si>
  <si>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</si>
  <si>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</si>
  <si>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</si>
  <si>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</si>
  <si>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</si>
  <si>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</si>
  <si>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</si>
  <si>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</si>
  <si>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</si>
  <si>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</si>
  <si>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</si>
  <si>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</si>
  <si>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31-08-'25 r. (w proc.)*</t>
  </si>
  <si>
    <t>Stopa bezrobocia stan na 30-09-'25 r. (w proc.)*</t>
  </si>
  <si>
    <t>Stopa bezrobocia stan na 30-09-'24 r. (w proc.)*</t>
  </si>
  <si>
    <t>Stopa bezrobocia stan na 31-08-'25 r. w proc. *</t>
  </si>
  <si>
    <r>
      <t>Stopa bezrobocia stan na 30</t>
    </r>
    <r>
      <rPr>
        <sz val="12"/>
        <color theme="1"/>
        <rFont val="Arial"/>
        <family val="2"/>
        <charset val="238"/>
      </rPr>
      <t xml:space="preserve">-09-'25 </t>
    </r>
    <r>
      <rPr>
        <sz val="11"/>
        <color theme="1"/>
        <rFont val="Arial"/>
        <family val="2"/>
        <charset val="238"/>
      </rPr>
      <t>r. w proc.*</t>
    </r>
  </si>
  <si>
    <r>
      <t>Stopa bezrobocia stan na 30</t>
    </r>
    <r>
      <rPr>
        <sz val="12"/>
        <color theme="1"/>
        <rFont val="Arial"/>
        <family val="2"/>
        <charset val="238"/>
      </rPr>
      <t>-09-'24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</si>
</sst>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POMORSKIE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3.5</c:v>
                </c:pt>
                <c:pt idx="1">
                  <c:v>4.3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5.2</c:v>
                </c:pt>
                <c:pt idx="5">
                  <c:v>5.2</c:v>
                </c:pt>
                <c:pt idx="6">
                  <c:v>5.4</c:v>
                </c:pt>
                <c:pt idx="7">
                  <c:v>5.6</c:v>
                </c:pt>
                <c:pt idx="8">
                  <c:v>6.2</c:v>
                </c:pt>
                <c:pt idx="9">
                  <c:v>6.2</c:v>
                </c:pt>
                <c:pt idx="10">
                  <c:v>7.3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</c:v>
                </c:pt>
                <c:pt idx="15">
                  <c:v>8.6999999999999993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stalowowolski</c:v>
                </c:pt>
                <c:pt idx="5">
                  <c:v>Powiat mielecki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3.6</c:v>
                </c:pt>
                <c:pt idx="1">
                  <c:v>4.4000000000000004</c:v>
                </c:pt>
                <c:pt idx="2">
                  <c:v>5.0999999999999996</c:v>
                </c:pt>
                <c:pt idx="3">
                  <c:v>5.6</c:v>
                </c:pt>
                <c:pt idx="4">
                  <c:v>5.9</c:v>
                </c:pt>
                <c:pt idx="5">
                  <c:v>6</c:v>
                </c:pt>
                <c:pt idx="6">
                  <c:v>7.5</c:v>
                </c:pt>
                <c:pt idx="7">
                  <c:v>8</c:v>
                </c:pt>
                <c:pt idx="8">
                  <c:v>8.1</c:v>
                </c:pt>
                <c:pt idx="9">
                  <c:v>8.4</c:v>
                </c:pt>
                <c:pt idx="10">
                  <c:v>9</c:v>
                </c:pt>
                <c:pt idx="11">
                  <c:v>9.1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10.7</c:v>
                </c:pt>
                <c:pt idx="16">
                  <c:v>11.3</c:v>
                </c:pt>
                <c:pt idx="17">
                  <c:v>11.4</c:v>
                </c:pt>
                <c:pt idx="18">
                  <c:v>12.9</c:v>
                </c:pt>
                <c:pt idx="19">
                  <c:v>13.7</c:v>
                </c:pt>
                <c:pt idx="20">
                  <c:v>14</c:v>
                </c:pt>
                <c:pt idx="21">
                  <c:v>15.1</c:v>
                </c:pt>
                <c:pt idx="22">
                  <c:v>15.6</c:v>
                </c:pt>
                <c:pt idx="23">
                  <c:v>16.2</c:v>
                </c:pt>
                <c:pt idx="24">
                  <c:v>17.100000000000001</c:v>
                </c:pt>
                <c:pt idx="25">
                  <c:v>17.899999999999999</c:v>
                </c:pt>
                <c:pt idx="26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5.6</v>
      </c>
      <c r="D3" s="39">
        <v>5.5</v>
      </c>
      <c r="E3" s="14">
        <f>C3-D3</f>
        <v>9.9999999999999645E-2</v>
      </c>
      <c r="F3" s="39">
        <v>5</v>
      </c>
      <c r="G3" s="14">
        <f>C3-F3</f>
        <v>0.59999999999999964</v>
      </c>
      <c r="H3" s="15"/>
    </row>
    <row r="4" spans="1:8" x14ac:dyDescent="0.2">
      <c r="A4" s="12">
        <v>2</v>
      </c>
      <c r="B4" s="16" t="s">
        <v>2</v>
      </c>
      <c r="C4" s="58">
        <v>5.2</v>
      </c>
      <c r="D4" s="38">
        <v>5.2</v>
      </c>
      <c r="E4" s="17">
        <f t="shared" ref="E4:E19" si="0">C4-D4</f>
        <v>0</v>
      </c>
      <c r="F4" s="38">
        <v>4.5999999999999996</v>
      </c>
      <c r="G4" s="17">
        <f t="shared" ref="G4:G19" si="1">C4-F4</f>
        <v>0.60000000000000053</v>
      </c>
      <c r="H4" s="15"/>
    </row>
    <row r="5" spans="1:8" x14ac:dyDescent="0.2">
      <c r="A5" s="12">
        <v>3</v>
      </c>
      <c r="B5" s="16" t="s">
        <v>3</v>
      </c>
      <c r="C5" s="17">
        <v>7.6</v>
      </c>
      <c r="D5" s="38">
        <v>7.6</v>
      </c>
      <c r="E5" s="18">
        <f t="shared" si="0"/>
        <v>0</v>
      </c>
      <c r="F5" s="38">
        <v>7</v>
      </c>
      <c r="G5" s="17">
        <f t="shared" si="1"/>
        <v>0.59999999999999964</v>
      </c>
      <c r="H5" s="15"/>
    </row>
    <row r="6" spans="1:8" x14ac:dyDescent="0.2">
      <c r="A6" s="12">
        <v>4</v>
      </c>
      <c r="B6" s="16" t="s">
        <v>4</v>
      </c>
      <c r="C6" s="18">
        <v>7.9</v>
      </c>
      <c r="D6" s="38">
        <v>7.8</v>
      </c>
      <c r="E6" s="17">
        <f t="shared" si="0"/>
        <v>0.10000000000000053</v>
      </c>
      <c r="F6" s="38">
        <v>7.2</v>
      </c>
      <c r="G6" s="17">
        <f t="shared" si="1"/>
        <v>0.70000000000000018</v>
      </c>
      <c r="H6" s="15"/>
    </row>
    <row r="7" spans="1:8" x14ac:dyDescent="0.2">
      <c r="A7" s="12">
        <v>5</v>
      </c>
      <c r="B7" s="16" t="s">
        <v>5</v>
      </c>
      <c r="C7" s="17">
        <v>5.4</v>
      </c>
      <c r="D7" s="38">
        <v>5.3</v>
      </c>
      <c r="E7" s="17">
        <f t="shared" si="0"/>
        <v>0.10000000000000053</v>
      </c>
      <c r="F7" s="38">
        <v>4.3</v>
      </c>
      <c r="G7" s="17">
        <f t="shared" si="1"/>
        <v>1.1000000000000005</v>
      </c>
      <c r="H7" s="15"/>
    </row>
    <row r="8" spans="1:8" x14ac:dyDescent="0.2">
      <c r="A8" s="12">
        <v>6</v>
      </c>
      <c r="B8" s="16" t="s">
        <v>6</v>
      </c>
      <c r="C8" s="17">
        <v>6.2</v>
      </c>
      <c r="D8" s="38">
        <v>6.1</v>
      </c>
      <c r="E8" s="17">
        <f t="shared" si="0"/>
        <v>0.10000000000000053</v>
      </c>
      <c r="F8" s="38">
        <v>5.4</v>
      </c>
      <c r="G8" s="17">
        <f t="shared" si="1"/>
        <v>0.79999999999999982</v>
      </c>
      <c r="H8" s="15"/>
    </row>
    <row r="9" spans="1:8" x14ac:dyDescent="0.2">
      <c r="A9" s="12">
        <v>7</v>
      </c>
      <c r="B9" s="16" t="s">
        <v>7</v>
      </c>
      <c r="C9" s="17">
        <v>4.5999999999999996</v>
      </c>
      <c r="D9" s="38">
        <v>4.5999999999999996</v>
      </c>
      <c r="E9" s="17">
        <f t="shared" si="0"/>
        <v>0</v>
      </c>
      <c r="F9" s="38">
        <v>4.0999999999999996</v>
      </c>
      <c r="G9" s="17">
        <f t="shared" si="1"/>
        <v>0.5</v>
      </c>
      <c r="H9" s="15"/>
    </row>
    <row r="10" spans="1:8" x14ac:dyDescent="0.2">
      <c r="A10" s="12">
        <v>8</v>
      </c>
      <c r="B10" s="16" t="s">
        <v>8</v>
      </c>
      <c r="C10" s="17">
        <v>4.4000000000000004</v>
      </c>
      <c r="D10" s="38">
        <v>4.4000000000000004</v>
      </c>
      <c r="E10" s="17">
        <f t="shared" si="0"/>
        <v>0</v>
      </c>
      <c r="F10" s="38">
        <v>4</v>
      </c>
      <c r="G10" s="17">
        <f t="shared" si="1"/>
        <v>0.40000000000000036</v>
      </c>
      <c r="H10" s="15"/>
    </row>
    <row r="11" spans="1:8" x14ac:dyDescent="0.2">
      <c r="A11" s="12">
        <v>9</v>
      </c>
      <c r="B11" s="16" t="s">
        <v>9</v>
      </c>
      <c r="C11" s="17">
        <v>6.2</v>
      </c>
      <c r="D11" s="38">
        <v>6.2</v>
      </c>
      <c r="E11" s="17">
        <f t="shared" si="0"/>
        <v>0</v>
      </c>
      <c r="F11" s="38">
        <v>5.7</v>
      </c>
      <c r="G11" s="17">
        <f t="shared" si="1"/>
        <v>0.5</v>
      </c>
      <c r="H11" s="15"/>
    </row>
    <row r="12" spans="1:8" ht="15" x14ac:dyDescent="0.2">
      <c r="A12" s="12">
        <v>10</v>
      </c>
      <c r="B12" s="13" t="s">
        <v>10</v>
      </c>
      <c r="C12" s="59">
        <v>9</v>
      </c>
      <c r="D12" s="39">
        <v>8.9</v>
      </c>
      <c r="E12" s="14">
        <f>C12-D12</f>
        <v>9.9999999999999645E-2</v>
      </c>
      <c r="F12" s="39">
        <v>8.4</v>
      </c>
      <c r="G12" s="14">
        <f>C12-F12</f>
        <v>0.59999999999999964</v>
      </c>
      <c r="H12" s="15"/>
    </row>
    <row r="13" spans="1:8" x14ac:dyDescent="0.2">
      <c r="A13" s="12">
        <v>11</v>
      </c>
      <c r="B13" s="16" t="s">
        <v>11</v>
      </c>
      <c r="C13" s="58">
        <v>7.3</v>
      </c>
      <c r="D13" s="38">
        <v>7.3</v>
      </c>
      <c r="E13" s="17">
        <f t="shared" si="0"/>
        <v>0</v>
      </c>
      <c r="F13" s="38">
        <v>6.8</v>
      </c>
      <c r="G13" s="17">
        <f t="shared" si="1"/>
        <v>0.5</v>
      </c>
      <c r="H13" s="15"/>
    </row>
    <row r="14" spans="1:8" x14ac:dyDescent="0.2">
      <c r="A14" s="12">
        <v>12</v>
      </c>
      <c r="B14" s="16" t="s">
        <v>12</v>
      </c>
      <c r="C14" s="17">
        <v>5.2</v>
      </c>
      <c r="D14" s="38">
        <v>5</v>
      </c>
      <c r="E14" s="17">
        <f t="shared" si="0"/>
        <v>0.20000000000000018</v>
      </c>
      <c r="F14" s="38">
        <v>4.5</v>
      </c>
      <c r="G14" s="17">
        <f t="shared" si="1"/>
        <v>0.70000000000000018</v>
      </c>
      <c r="H14" s="15"/>
    </row>
    <row r="15" spans="1:8" x14ac:dyDescent="0.2">
      <c r="A15" s="12">
        <v>13</v>
      </c>
      <c r="B15" s="16" t="s">
        <v>13</v>
      </c>
      <c r="C15" s="17">
        <v>4.3</v>
      </c>
      <c r="D15" s="38">
        <v>4.2</v>
      </c>
      <c r="E15" s="17">
        <f t="shared" si="0"/>
        <v>9.9999999999999645E-2</v>
      </c>
      <c r="F15" s="38">
        <v>3.6</v>
      </c>
      <c r="G15" s="17">
        <f t="shared" si="1"/>
        <v>0.69999999999999973</v>
      </c>
      <c r="H15" s="15"/>
    </row>
    <row r="16" spans="1:8" x14ac:dyDescent="0.2">
      <c r="A16" s="12">
        <v>14</v>
      </c>
      <c r="B16" s="16" t="s">
        <v>14</v>
      </c>
      <c r="C16" s="17">
        <v>8.1</v>
      </c>
      <c r="D16" s="38">
        <v>8</v>
      </c>
      <c r="E16" s="17">
        <f t="shared" si="0"/>
        <v>9.9999999999999645E-2</v>
      </c>
      <c r="F16" s="38">
        <v>7.4</v>
      </c>
      <c r="G16" s="17">
        <f t="shared" si="1"/>
        <v>0.69999999999999929</v>
      </c>
      <c r="H16" s="15"/>
    </row>
    <row r="17" spans="1:8" x14ac:dyDescent="0.2">
      <c r="A17" s="12">
        <v>15</v>
      </c>
      <c r="B17" s="16" t="s">
        <v>15</v>
      </c>
      <c r="C17" s="17">
        <v>8.6999999999999993</v>
      </c>
      <c r="D17" s="38">
        <v>8.5</v>
      </c>
      <c r="E17" s="17">
        <f t="shared" si="0"/>
        <v>0.19999999999999929</v>
      </c>
      <c r="F17" s="38">
        <v>7.8</v>
      </c>
      <c r="G17" s="17">
        <f t="shared" si="1"/>
        <v>0.89999999999999947</v>
      </c>
      <c r="H17" s="15"/>
    </row>
    <row r="18" spans="1:8" x14ac:dyDescent="0.2">
      <c r="A18" s="12">
        <v>16</v>
      </c>
      <c r="B18" s="16" t="s">
        <v>16</v>
      </c>
      <c r="C18" s="17">
        <v>3.5</v>
      </c>
      <c r="D18" s="38">
        <v>3.4</v>
      </c>
      <c r="E18" s="17">
        <f t="shared" si="0"/>
        <v>0.10000000000000009</v>
      </c>
      <c r="F18" s="38">
        <v>3</v>
      </c>
      <c r="G18" s="17">
        <f t="shared" si="1"/>
        <v>0.5</v>
      </c>
      <c r="H18" s="15"/>
    </row>
    <row r="19" spans="1:8" x14ac:dyDescent="0.2">
      <c r="A19" s="12">
        <v>17</v>
      </c>
      <c r="B19" s="16" t="s">
        <v>17</v>
      </c>
      <c r="C19" s="17">
        <v>7.3</v>
      </c>
      <c r="D19" s="38">
        <v>7.2</v>
      </c>
      <c r="E19" s="17">
        <f t="shared" si="0"/>
        <v>9.9999999999999645E-2</v>
      </c>
      <c r="F19" s="38">
        <v>6.6</v>
      </c>
      <c r="G19" s="17">
        <f t="shared" si="1"/>
        <v>0.70000000000000018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30-09-'25 r. (w proc.)*</v>
      </c>
      <c r="E3" s="32" t="str">
        <f>T('1s.bezr.Pol'!D2)</f>
        <v>Stopa bezrobocia stan na 31-08-'25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30-09-'24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3.5</v>
      </c>
      <c r="E4" s="18">
        <f>INDEX('1s.bezr.Pol'!B3:G19,MATCH(1,B4:B20,0),3)</f>
        <v>3.4</v>
      </c>
      <c r="F4" s="38">
        <f>INDEX('1s.bezr.Pol'!B3:G19,MATCH(1,B4:B20,0),4)</f>
        <v>0.10000000000000009</v>
      </c>
      <c r="G4" s="18">
        <f>INDEX('1s.bezr.Pol'!B3:G19,MATCH(1,B4:B20,0),5)</f>
        <v>3</v>
      </c>
      <c r="H4" s="38">
        <f>INDEX('1s.bezr.Pol'!B3:G19,MATCH(1,B4:B20,0),6)</f>
        <v>0.5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5</v>
      </c>
      <c r="C5" s="3" t="str">
        <f>INDEX('1s.bezr.Pol'!B3:G19,MATCH(2,B4:B20,0),1)</f>
        <v>ŚLĄSKIE</v>
      </c>
      <c r="D5" s="5">
        <f>INDEX('1s.bezr.Pol'!B3:G19,MATCH(2,B4:B20,0),2)</f>
        <v>4.3</v>
      </c>
      <c r="E5" s="18">
        <f>INDEX('1s.bezr.Pol'!B3:G19,MATCH(2,B4:B20,0),3)</f>
        <v>4.2</v>
      </c>
      <c r="F5" s="38">
        <f>INDEX('1s.bezr.Pol'!B3:G19,MATCH(2,B4:B20,0),4)</f>
        <v>9.9999999999999645E-2</v>
      </c>
      <c r="G5" s="18">
        <f>INDEX('1s.bezr.Pol'!B3:G19,MATCH(2,B4:B20,0),5)</f>
        <v>3.6</v>
      </c>
      <c r="H5" s="38">
        <f>INDEX('1s.bezr.Pol'!B3:G19,MATCH(2,B4:B20,0),6)</f>
        <v>0.69999999999999973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4.4000000000000004</v>
      </c>
      <c r="E6" s="18">
        <f>INDEX('1s.bezr.Pol'!B3:G19,MATCH(3,B4:B20,0),3)</f>
        <v>4.4000000000000004</v>
      </c>
      <c r="F6" s="38">
        <f>INDEX('1s.bezr.Pol'!B3:G19,MATCH(3,B4:B20,0),4)</f>
        <v>0</v>
      </c>
      <c r="G6" s="18">
        <f>INDEX('1s.bezr.Pol'!B3:G19,MATCH(3,B4:B20,0),5)</f>
        <v>4</v>
      </c>
      <c r="H6" s="38">
        <f>INDEX('1s.bezr.Pol'!B3:G19,MATCH(3,B4:B20,0),6)</f>
        <v>0.40000000000000036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4.5999999999999996</v>
      </c>
      <c r="E7" s="18">
        <f>INDEX('1s.bezr.Pol'!B3:G19,MATCH(4,B4:B20,0),3)</f>
        <v>4.5999999999999996</v>
      </c>
      <c r="F7" s="38">
        <f>INDEX('1s.bezr.Pol'!B3:G19,MATCH(4,B4:B20,0),4)</f>
        <v>0</v>
      </c>
      <c r="G7" s="18">
        <f>INDEX('1s.bezr.Pol'!B3:G19,MATCH(4,B4:B20,0),5)</f>
        <v>4.0999999999999996</v>
      </c>
      <c r="H7" s="38">
        <f>INDEX('1s.bezr.Pol'!B3:G19,MATCH(4,B4:B20,0),6)</f>
        <v>0.5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DOLNOŚLĄSKIE</v>
      </c>
      <c r="D8" s="5">
        <f>INDEX('1s.bezr.Pol'!B3:G19,MATCH(5,B4:B20,0),2)</f>
        <v>5.2</v>
      </c>
      <c r="E8" s="18">
        <f>INDEX('1s.bezr.Pol'!B3:G19,MATCH(5,B4:B20,0),3)</f>
        <v>5.2</v>
      </c>
      <c r="F8" s="38">
        <f>INDEX('1s.bezr.Pol'!B3:G19,MATCH(5,B4:B20,0),4)</f>
        <v>0</v>
      </c>
      <c r="G8" s="18">
        <f>INDEX('1s.bezr.Pol'!B3:G19,MATCH(5,B4:B20,0),5)</f>
        <v>4.5999999999999996</v>
      </c>
      <c r="H8" s="38">
        <f>INDEX('1s.bezr.Pol'!B3:G19,MATCH(5,B4:B20,0),6)</f>
        <v>0.60000000000000053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5.2</v>
      </c>
      <c r="E9" s="18">
        <f>INDEX('1s.bezr.Pol'!B3:G19,MATCH(6,B4:B20,0),3)</f>
        <v>5</v>
      </c>
      <c r="F9" s="38">
        <f>INDEX('1s.bezr.Pol'!B3:G19,MATCH(6,B4:B20,0),4)</f>
        <v>0.20000000000000018</v>
      </c>
      <c r="G9" s="18">
        <f>INDEX('1s.bezr.Pol'!B3:G19,MATCH(6,B4:B20,0),5)</f>
        <v>4.5</v>
      </c>
      <c r="H9" s="38">
        <f>INDEX('1s.bezr.Pol'!B3:G19,MATCH(6,B4:B20,0),6)</f>
        <v>0.70000000000000018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5.4</v>
      </c>
      <c r="E10" s="18">
        <f>INDEX('1s.bezr.Pol'!B3:G19,MATCH(7,B4:B20,0),3)</f>
        <v>5.3</v>
      </c>
      <c r="F10" s="38">
        <f>INDEX('1s.bezr.Pol'!B3:G19,MATCH(7,B4:B20,0),4)</f>
        <v>0.10000000000000053</v>
      </c>
      <c r="G10" s="18">
        <f>INDEX('1s.bezr.Pol'!B3:G19,MATCH(7,B4:B20,0),5)</f>
        <v>4.3</v>
      </c>
      <c r="H10" s="38">
        <f>INDEX('1s.bezr.Pol'!B3:G19,MATCH(7,B4:B20,0),6)</f>
        <v>1.1000000000000005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5.6</v>
      </c>
      <c r="E11" s="29">
        <f>INDEX('1s.bezr.Pol'!B3:G19,MATCH(8,B4:B20,0),3)</f>
        <v>5.5</v>
      </c>
      <c r="F11" s="39">
        <f>INDEX('1s.bezr.Pol'!B3:G19,MATCH(8,B4:B20,0),4)</f>
        <v>9.9999999999999645E-2</v>
      </c>
      <c r="G11" s="29">
        <f>INDEX('1s.bezr.Pol'!B3:G19,MATCH(8,B4:B20,0),5)</f>
        <v>5</v>
      </c>
      <c r="H11" s="39">
        <f>INDEX('1s.bezr.Pol'!B3:G19,MATCH(8,B4:B20,0),6)</f>
        <v>0.59999999999999964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6.2</v>
      </c>
      <c r="E12" s="18">
        <f>INDEX('1s.bezr.Pol'!B3:G19,MATCH(9,B4:B20,0),3)</f>
        <v>6.1</v>
      </c>
      <c r="F12" s="38">
        <f>INDEX('1s.bezr.Pol'!B3:G19,MATCH(9,B4:B20,0),4)</f>
        <v>0.10000000000000053</v>
      </c>
      <c r="G12" s="18">
        <f>INDEX('1s.bezr.Pol'!B3:G19,MATCH(9,B4:B20,0),5)</f>
        <v>5.4</v>
      </c>
      <c r="H12" s="38">
        <f>INDEX('1s.bezr.Pol'!B3:G19,MATCH(9,B4:B20,0),6)</f>
        <v>0.79999999999999982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6.2</v>
      </c>
      <c r="E13" s="18">
        <f>INDEX('1s.bezr.Pol'!B3:G19,MATCH(10,B4:B20,0),3)</f>
        <v>6.2</v>
      </c>
      <c r="F13" s="38">
        <f>INDEX('1s.bezr.Pol'!B3:G19,MATCH(10,B4:B20,0),4)</f>
        <v>0</v>
      </c>
      <c r="G13" s="18">
        <f>INDEX('1s.bezr.Pol'!B3:G19,MATCH(10,B4:B20,0),5)</f>
        <v>5.7</v>
      </c>
      <c r="H13" s="38">
        <f>INDEX('1s.bezr.Pol'!B3:G19,MATCH(10,B4:B20,0),6)</f>
        <v>0.5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7.3</v>
      </c>
      <c r="E14" s="18">
        <f>INDEX('1s.bezr.Pol'!B3:G19,MATCH(11,B4:B20,0),3)</f>
        <v>7.3</v>
      </c>
      <c r="F14" s="38">
        <f>INDEX('1s.bezr.Pol'!B3:G19,MATCH(11,B4:B20,0),4)</f>
        <v>0</v>
      </c>
      <c r="G14" s="18">
        <f>INDEX('1s.bezr.Pol'!B3:G19,MATCH(11,B4:B20,0),5)</f>
        <v>6.8</v>
      </c>
      <c r="H14" s="38">
        <f>INDEX('1s.bezr.Pol'!B3:G19,MATCH(11,B4:B20,0),6)</f>
        <v>0.5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ZACHODNIOPOMORSKIE</v>
      </c>
      <c r="D15" s="5">
        <f>INDEX('1s.bezr.Pol'!B3:G19,MATCH(12,B4:B20,0),2)</f>
        <v>7.3</v>
      </c>
      <c r="E15" s="18">
        <f>INDEX('1s.bezr.Pol'!B3:G19,MATCH(12,B4:B20,0),3)</f>
        <v>7.2</v>
      </c>
      <c r="F15" s="38">
        <f>INDEX('1s.bezr.Pol'!B3:G19,MATCH(12,B4:B20,0),4)</f>
        <v>9.9999999999999645E-2</v>
      </c>
      <c r="G15" s="18">
        <f>INDEX('1s.bezr.Pol'!B3:G19,MATCH(12,B4:B20,0),5)</f>
        <v>6.6</v>
      </c>
      <c r="H15" s="38">
        <f>INDEX('1s.bezr.Pol'!B3:G19,MATCH(12,B4:B20,0),6)</f>
        <v>0.70000000000000018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7.6</v>
      </c>
      <c r="E16" s="18">
        <f>INDEX('1s.bezr.Pol'!B3:G19,MATCH(13,B4:B20,0),3)</f>
        <v>7.6</v>
      </c>
      <c r="F16" s="38">
        <f>INDEX('1s.bezr.Pol'!B3:G19,MATCH(13,B4:B20,0),4)</f>
        <v>0</v>
      </c>
      <c r="G16" s="18">
        <f>INDEX('1s.bezr.Pol'!B3:G19,MATCH(13,B4:B20,0),5)</f>
        <v>7</v>
      </c>
      <c r="H16" s="38">
        <f>INDEX('1s.bezr.Pol'!B3:G19,MATCH(13,B4:B20,0),6)</f>
        <v>0.59999999999999964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7.9</v>
      </c>
      <c r="E17" s="18">
        <f>INDEX('1s.bezr.Pol'!B3:G19,MATCH(14,B4:B20,0),3)</f>
        <v>7.8</v>
      </c>
      <c r="F17" s="38">
        <f>INDEX('1s.bezr.Pol'!B3:G19,MATCH(14,B4:B20,0),4)</f>
        <v>0.10000000000000053</v>
      </c>
      <c r="G17" s="18">
        <f>INDEX('1s.bezr.Pol'!B3:G19,MATCH(14,B4:B20,0),5)</f>
        <v>7.2</v>
      </c>
      <c r="H17" s="38">
        <f>INDEX('1s.bezr.Pol'!B3:G19,MATCH(14,B4:B20,0),6)</f>
        <v>0.70000000000000018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8.1</v>
      </c>
      <c r="E18" s="18">
        <f>INDEX('1s.bezr.Pol'!B3:G19,MATCH(15,B4:B20,0),3)</f>
        <v>8</v>
      </c>
      <c r="F18" s="38">
        <f>INDEX('1s.bezr.Pol'!B3:G19,MATCH(15,B4:B20,0),4)</f>
        <v>9.9999999999999645E-2</v>
      </c>
      <c r="G18" s="18">
        <f>INDEX('1s.bezr.Pol'!B3:G19,MATCH(15,B4:B20,0),5)</f>
        <v>7.4</v>
      </c>
      <c r="H18" s="38">
        <f>INDEX('1s.bezr.Pol'!B3:G19,MATCH(15,B4:B20,0),6)</f>
        <v>0.69999999999999929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8.6999999999999993</v>
      </c>
      <c r="E19" s="18">
        <f>INDEX('1s.bezr.Pol'!B3:G19,MATCH(16,B4:B20,0),3)</f>
        <v>8.5</v>
      </c>
      <c r="F19" s="38">
        <f>INDEX('1s.bezr.Pol'!B3:G19,MATCH(16,B4:B20,0),4)</f>
        <v>0.19999999999999929</v>
      </c>
      <c r="G19" s="18">
        <f>INDEX('1s.bezr.Pol'!B3:G19,MATCH(16,B4:B20,0),5)</f>
        <v>7.8</v>
      </c>
      <c r="H19" s="38">
        <f>INDEX('1s.bezr.Pol'!B3:G19,MATCH(16,B4:B20,0),6)</f>
        <v>0.89999999999999947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9</v>
      </c>
      <c r="E20" s="18">
        <f>INDEX('1s.bezr.Pol'!B3:G19,MATCH(17,B4:B20,0),3)</f>
        <v>8.9</v>
      </c>
      <c r="F20" s="38">
        <f>INDEX('1s.bezr.Pol'!B3:G19,MATCH(17,B4:B20,0),4)</f>
        <v>9.9999999999999645E-2</v>
      </c>
      <c r="G20" s="18">
        <f>INDEX('1s.bezr.Pol'!B3:G19,MATCH(17,B4:B20,0),5)</f>
        <v>8.4</v>
      </c>
      <c r="H20" s="38">
        <f>INDEX('1s.bezr.Pol'!B3:G19,MATCH(17,B4:B20,0),6)</f>
        <v>0.59999999999999964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5.6</v>
      </c>
      <c r="D3" s="42">
        <v>5.5</v>
      </c>
      <c r="E3" s="43">
        <f>($C$3)-$D$3</f>
        <v>9.9999999999999645E-2</v>
      </c>
      <c r="F3" s="42">
        <v>5</v>
      </c>
      <c r="G3" s="41">
        <f>($C$3)-$F$3</f>
        <v>0.59999999999999964</v>
      </c>
      <c r="H3" s="12"/>
    </row>
    <row r="4" spans="1:8" ht="15" x14ac:dyDescent="0.25">
      <c r="A4" s="12">
        <v>2</v>
      </c>
      <c r="B4" s="44" t="s">
        <v>10</v>
      </c>
      <c r="C4" s="45">
        <v>9</v>
      </c>
      <c r="D4" s="42">
        <v>8.9</v>
      </c>
      <c r="E4" s="45">
        <f>($C$4)-$D$4</f>
        <v>9.9999999999999645E-2</v>
      </c>
      <c r="F4" s="42">
        <v>8.4</v>
      </c>
      <c r="G4" s="45">
        <f>($C$4)-$F$4</f>
        <v>0.59999999999999964</v>
      </c>
      <c r="H4" s="12"/>
    </row>
    <row r="5" spans="1:8" x14ac:dyDescent="0.2">
      <c r="A5" s="12">
        <v>3</v>
      </c>
      <c r="B5" s="16" t="s">
        <v>18</v>
      </c>
      <c r="C5" s="17">
        <v>15.1</v>
      </c>
      <c r="D5" s="46">
        <v>15.3</v>
      </c>
      <c r="E5" s="5">
        <f>($C$5)-$D$5</f>
        <v>-0.20000000000000107</v>
      </c>
      <c r="F5" s="46">
        <v>14.7</v>
      </c>
      <c r="G5" s="5">
        <f>($C$5)-$F$5</f>
        <v>0.40000000000000036</v>
      </c>
      <c r="H5" s="12"/>
    </row>
    <row r="6" spans="1:8" x14ac:dyDescent="0.2">
      <c r="A6" s="12">
        <v>4</v>
      </c>
      <c r="B6" s="16" t="s">
        <v>19</v>
      </c>
      <c r="C6" s="17">
        <v>19.5</v>
      </c>
      <c r="D6" s="46">
        <v>19.600000000000001</v>
      </c>
      <c r="E6" s="5">
        <f>($C$6)-$D$6</f>
        <v>-0.10000000000000142</v>
      </c>
      <c r="F6" s="46">
        <v>19.600000000000001</v>
      </c>
      <c r="G6" s="5">
        <f>($C$6)-$F$6</f>
        <v>-0.10000000000000142</v>
      </c>
      <c r="H6" s="12"/>
    </row>
    <row r="7" spans="1:8" x14ac:dyDescent="0.2">
      <c r="A7" s="12">
        <v>5</v>
      </c>
      <c r="B7" s="16" t="s">
        <v>20</v>
      </c>
      <c r="C7" s="17">
        <v>5.0999999999999996</v>
      </c>
      <c r="D7" s="46">
        <v>5</v>
      </c>
      <c r="E7" s="5">
        <f>($C$7)-$D$7</f>
        <v>9.9999999999999645E-2</v>
      </c>
      <c r="F7" s="46">
        <v>4.4000000000000004</v>
      </c>
      <c r="G7" s="5">
        <f>($C$7)-$F$7</f>
        <v>0.69999999999999929</v>
      </c>
      <c r="H7" s="12"/>
    </row>
    <row r="8" spans="1:8" x14ac:dyDescent="0.2">
      <c r="A8" s="12">
        <v>6</v>
      </c>
      <c r="B8" s="16" t="s">
        <v>21</v>
      </c>
      <c r="C8" s="17">
        <v>11.3</v>
      </c>
      <c r="D8" s="46">
        <v>11.2</v>
      </c>
      <c r="E8" s="5">
        <f>($C$8)-$D$8</f>
        <v>0.10000000000000142</v>
      </c>
      <c r="F8" s="46">
        <v>10.6</v>
      </c>
      <c r="G8" s="5">
        <f>($C$8)-$F$8</f>
        <v>0.70000000000000107</v>
      </c>
      <c r="H8" s="12"/>
    </row>
    <row r="9" spans="1:8" x14ac:dyDescent="0.2">
      <c r="A9" s="12">
        <v>7</v>
      </c>
      <c r="B9" s="16" t="s">
        <v>22</v>
      </c>
      <c r="C9" s="17">
        <v>12.9</v>
      </c>
      <c r="D9" s="46">
        <v>12.8</v>
      </c>
      <c r="E9" s="5">
        <f>($C$9)-$D$9</f>
        <v>9.9999999999999645E-2</v>
      </c>
      <c r="F9" s="46">
        <v>12.3</v>
      </c>
      <c r="G9" s="5">
        <f>($C$9)-$F$9</f>
        <v>0.59999999999999964</v>
      </c>
      <c r="H9" s="12"/>
    </row>
    <row r="10" spans="1:8" x14ac:dyDescent="0.2">
      <c r="A10" s="12">
        <v>8</v>
      </c>
      <c r="B10" s="16" t="s">
        <v>23</v>
      </c>
      <c r="C10" s="17">
        <v>8.4</v>
      </c>
      <c r="D10" s="46">
        <v>8.5</v>
      </c>
      <c r="E10" s="5">
        <f>($C$10)-$D$10</f>
        <v>-9.9999999999999645E-2</v>
      </c>
      <c r="F10" s="46">
        <v>8.1</v>
      </c>
      <c r="G10" s="5">
        <f>($C$10)-$F$10</f>
        <v>0.30000000000000071</v>
      </c>
      <c r="H10" s="12"/>
    </row>
    <row r="11" spans="1:8" x14ac:dyDescent="0.2">
      <c r="A11" s="12">
        <v>9</v>
      </c>
      <c r="B11" s="16" t="s">
        <v>24</v>
      </c>
      <c r="C11" s="17">
        <v>9.1</v>
      </c>
      <c r="D11" s="46">
        <v>9.1999999999999993</v>
      </c>
      <c r="E11" s="5">
        <f>($C$11)-$D$11</f>
        <v>-9.9999999999999645E-2</v>
      </c>
      <c r="F11" s="46">
        <v>8.1999999999999993</v>
      </c>
      <c r="G11" s="5">
        <f>($C$11)-$F$11</f>
        <v>0.90000000000000036</v>
      </c>
      <c r="H11" s="12"/>
    </row>
    <row r="12" spans="1:8" ht="15" x14ac:dyDescent="0.25">
      <c r="A12" s="12">
        <v>10</v>
      </c>
      <c r="B12" s="19" t="s">
        <v>25</v>
      </c>
      <c r="C12" s="20">
        <v>17.899999999999999</v>
      </c>
      <c r="D12" s="42">
        <v>17.8</v>
      </c>
      <c r="E12" s="21">
        <f>($C$12)-$D$12</f>
        <v>9.9999999999997868E-2</v>
      </c>
      <c r="F12" s="42">
        <v>17.3</v>
      </c>
      <c r="G12" s="21">
        <f>($C$12)-$F$12</f>
        <v>0.59999999999999787</v>
      </c>
      <c r="H12" s="15"/>
    </row>
    <row r="13" spans="1:8" x14ac:dyDescent="0.2">
      <c r="A13" s="12">
        <v>11</v>
      </c>
      <c r="B13" s="16" t="s">
        <v>26</v>
      </c>
      <c r="C13" s="17">
        <v>13.7</v>
      </c>
      <c r="D13" s="46">
        <v>13.7</v>
      </c>
      <c r="E13" s="5">
        <f>($C$13)-$D$13</f>
        <v>0</v>
      </c>
      <c r="F13" s="46">
        <v>13.5</v>
      </c>
      <c r="G13" s="5">
        <f>($C$13)-$F$13</f>
        <v>0.19999999999999929</v>
      </c>
      <c r="H13" s="12"/>
    </row>
    <row r="14" spans="1:8" x14ac:dyDescent="0.2">
      <c r="A14" s="12">
        <v>12</v>
      </c>
      <c r="B14" s="16" t="s">
        <v>27</v>
      </c>
      <c r="C14" s="17">
        <v>9.9</v>
      </c>
      <c r="D14" s="46">
        <v>9.8000000000000007</v>
      </c>
      <c r="E14" s="5">
        <f>($C$14)-$D$14</f>
        <v>9.9999999999999645E-2</v>
      </c>
      <c r="F14" s="46">
        <v>9.6</v>
      </c>
      <c r="G14" s="5">
        <f>($C$14)-$F$14</f>
        <v>0.30000000000000071</v>
      </c>
      <c r="H14" s="12"/>
    </row>
    <row r="15" spans="1:8" x14ac:dyDescent="0.2">
      <c r="A15" s="12">
        <v>13</v>
      </c>
      <c r="B15" s="16" t="s">
        <v>28</v>
      </c>
      <c r="C15" s="17">
        <v>9.3000000000000007</v>
      </c>
      <c r="D15" s="46">
        <v>9.3000000000000007</v>
      </c>
      <c r="E15" s="5">
        <f>($C$15)-$D$15</f>
        <v>0</v>
      </c>
      <c r="F15" s="46">
        <v>9.1</v>
      </c>
      <c r="G15" s="5">
        <f>($C$15)-$F$15</f>
        <v>0.20000000000000107</v>
      </c>
      <c r="H15" s="12"/>
    </row>
    <row r="16" spans="1:8" x14ac:dyDescent="0.2">
      <c r="A16" s="12">
        <v>14</v>
      </c>
      <c r="B16" s="16" t="s">
        <v>29</v>
      </c>
      <c r="C16" s="17">
        <v>6</v>
      </c>
      <c r="D16" s="46">
        <v>5.9</v>
      </c>
      <c r="E16" s="5">
        <f>($C$16)-$D$16</f>
        <v>9.9999999999999645E-2</v>
      </c>
      <c r="F16" s="46">
        <v>5.3</v>
      </c>
      <c r="G16" s="5">
        <f>($C$16)-$F$16</f>
        <v>0.70000000000000018</v>
      </c>
      <c r="H16" s="12"/>
    </row>
    <row r="17" spans="1:8" x14ac:dyDescent="0.2">
      <c r="A17" s="12">
        <v>15</v>
      </c>
      <c r="B17" s="16" t="s">
        <v>30</v>
      </c>
      <c r="C17" s="17">
        <v>16.2</v>
      </c>
      <c r="D17" s="46">
        <v>16.2</v>
      </c>
      <c r="E17" s="5">
        <f>($C$17)-$D$17</f>
        <v>0</v>
      </c>
      <c r="F17" s="46">
        <v>16.2</v>
      </c>
      <c r="G17" s="5">
        <f>($C$17)-$F$17</f>
        <v>0</v>
      </c>
      <c r="H17" s="12"/>
    </row>
    <row r="18" spans="1:8" x14ac:dyDescent="0.2">
      <c r="A18" s="12">
        <v>16</v>
      </c>
      <c r="B18" s="16" t="s">
        <v>31</v>
      </c>
      <c r="C18" s="17">
        <v>15.6</v>
      </c>
      <c r="D18" s="46">
        <v>15.5</v>
      </c>
      <c r="E18" s="5">
        <f>($C$18)-$D$18</f>
        <v>9.9999999999999645E-2</v>
      </c>
      <c r="F18" s="46">
        <v>14.9</v>
      </c>
      <c r="G18" s="5">
        <f>($C$18)-$F$18</f>
        <v>0.69999999999999929</v>
      </c>
      <c r="H18" s="12"/>
    </row>
    <row r="19" spans="1:8" x14ac:dyDescent="0.2">
      <c r="A19" s="12">
        <v>17</v>
      </c>
      <c r="B19" s="16" t="s">
        <v>32</v>
      </c>
      <c r="C19" s="17">
        <v>14</v>
      </c>
      <c r="D19" s="46">
        <v>13.9</v>
      </c>
      <c r="E19" s="5">
        <f>($C$19)-$D$19</f>
        <v>9.9999999999999645E-2</v>
      </c>
      <c r="F19" s="46">
        <v>13.2</v>
      </c>
      <c r="G19" s="5">
        <f>($C$19)-$F$19</f>
        <v>0.80000000000000071</v>
      </c>
      <c r="H19" s="12"/>
    </row>
    <row r="20" spans="1:8" x14ac:dyDescent="0.2">
      <c r="A20" s="12">
        <v>18</v>
      </c>
      <c r="B20" s="16" t="s">
        <v>33</v>
      </c>
      <c r="C20" s="17">
        <v>11.4</v>
      </c>
      <c r="D20" s="46">
        <v>11.3</v>
      </c>
      <c r="E20" s="5">
        <f>($C$20)-$D$20</f>
        <v>9.9999999999999645E-2</v>
      </c>
      <c r="F20" s="46">
        <v>10.6</v>
      </c>
      <c r="G20" s="5">
        <f>($C$20)-$F$20</f>
        <v>0.80000000000000071</v>
      </c>
      <c r="H20" s="12"/>
    </row>
    <row r="21" spans="1:8" x14ac:dyDescent="0.2">
      <c r="A21" s="12">
        <v>19</v>
      </c>
      <c r="B21" s="16" t="s">
        <v>34</v>
      </c>
      <c r="C21" s="17">
        <v>8</v>
      </c>
      <c r="D21" s="46">
        <v>7.9</v>
      </c>
      <c r="E21" s="5">
        <f>($C$21)-$D$21</f>
        <v>9.9999999999999645E-2</v>
      </c>
      <c r="F21" s="46">
        <v>7.3</v>
      </c>
      <c r="G21" s="5">
        <f>($C$21)-$F$21</f>
        <v>0.70000000000000018</v>
      </c>
      <c r="H21" s="12"/>
    </row>
    <row r="22" spans="1:8" x14ac:dyDescent="0.2">
      <c r="A22" s="12">
        <v>20</v>
      </c>
      <c r="B22" s="16" t="s">
        <v>35</v>
      </c>
      <c r="C22" s="17">
        <v>9.1</v>
      </c>
      <c r="D22" s="46">
        <v>9</v>
      </c>
      <c r="E22" s="5">
        <f>($C$22)-$D$22</f>
        <v>9.9999999999999645E-2</v>
      </c>
      <c r="F22" s="46">
        <v>8.3000000000000007</v>
      </c>
      <c r="G22" s="5">
        <f>($C$22)-$F$22</f>
        <v>0.79999999999999893</v>
      </c>
      <c r="H22" s="12"/>
    </row>
    <row r="23" spans="1:8" x14ac:dyDescent="0.2">
      <c r="A23" s="12">
        <v>21</v>
      </c>
      <c r="B23" s="16" t="s">
        <v>36</v>
      </c>
      <c r="C23" s="17">
        <v>5.9</v>
      </c>
      <c r="D23" s="46">
        <v>5.9</v>
      </c>
      <c r="E23" s="5">
        <f>($C$23)-$D$23</f>
        <v>0</v>
      </c>
      <c r="F23" s="46">
        <v>4.9000000000000004</v>
      </c>
      <c r="G23" s="5">
        <f>($C$23)-$F$23</f>
        <v>1</v>
      </c>
      <c r="H23" s="12"/>
    </row>
    <row r="24" spans="1:8" x14ac:dyDescent="0.2">
      <c r="A24" s="12">
        <v>22</v>
      </c>
      <c r="B24" s="16" t="s">
        <v>37</v>
      </c>
      <c r="C24" s="17">
        <v>17.100000000000001</v>
      </c>
      <c r="D24" s="46">
        <v>17.3</v>
      </c>
      <c r="E24" s="5">
        <f>($C$24)-$D$24</f>
        <v>-0.19999999999999929</v>
      </c>
      <c r="F24" s="46">
        <v>16.7</v>
      </c>
      <c r="G24" s="5">
        <f>($C$24)-$F$24</f>
        <v>0.40000000000000213</v>
      </c>
      <c r="H24" s="12"/>
    </row>
    <row r="25" spans="1:8" x14ac:dyDescent="0.2">
      <c r="A25" s="12">
        <v>23</v>
      </c>
      <c r="B25" s="16" t="s">
        <v>38</v>
      </c>
      <c r="C25" s="17">
        <v>8.1</v>
      </c>
      <c r="D25" s="46">
        <v>7.8</v>
      </c>
      <c r="E25" s="5">
        <f>($C$25)-$D$25</f>
        <v>0.29999999999999982</v>
      </c>
      <c r="F25" s="46">
        <v>7.2</v>
      </c>
      <c r="G25" s="5">
        <f>($C$25)-$F$25</f>
        <v>0.89999999999999947</v>
      </c>
      <c r="H25" s="12"/>
    </row>
    <row r="26" spans="1:8" x14ac:dyDescent="0.2">
      <c r="A26" s="12">
        <v>24</v>
      </c>
      <c r="B26" s="16" t="s">
        <v>39</v>
      </c>
      <c r="C26" s="22">
        <v>3.6</v>
      </c>
      <c r="D26" s="46">
        <v>3.6</v>
      </c>
      <c r="E26" s="5">
        <f>($C$26)-$D$26</f>
        <v>0</v>
      </c>
      <c r="F26" s="46">
        <v>2.9</v>
      </c>
      <c r="G26" s="5">
        <f>($C$26)-$F$26</f>
        <v>0.70000000000000018</v>
      </c>
      <c r="H26" s="12"/>
    </row>
    <row r="27" spans="1:8" x14ac:dyDescent="0.2">
      <c r="A27" s="12">
        <v>25</v>
      </c>
      <c r="B27" s="16" t="s">
        <v>40</v>
      </c>
      <c r="C27" s="17">
        <v>10.7</v>
      </c>
      <c r="D27" s="46">
        <v>10.6</v>
      </c>
      <c r="E27" s="5">
        <f>($C$27)-$D$27</f>
        <v>9.9999999999999645E-2</v>
      </c>
      <c r="F27" s="46">
        <v>9.9</v>
      </c>
      <c r="G27" s="5">
        <f>($C$27)-$F$27</f>
        <v>0.79999999999999893</v>
      </c>
      <c r="H27" s="12"/>
    </row>
    <row r="28" spans="1:8" x14ac:dyDescent="0.2">
      <c r="A28" s="12">
        <v>26</v>
      </c>
      <c r="B28" s="16" t="s">
        <v>41</v>
      </c>
      <c r="C28" s="17">
        <v>4.4000000000000004</v>
      </c>
      <c r="D28" s="46">
        <v>4.4000000000000004</v>
      </c>
      <c r="E28" s="5">
        <f>($C$28)-$D$28</f>
        <v>0</v>
      </c>
      <c r="F28" s="46">
        <v>4</v>
      </c>
      <c r="G28" s="5">
        <f>($C$28)-$F$28</f>
        <v>0.40000000000000036</v>
      </c>
      <c r="H28" s="12"/>
    </row>
    <row r="29" spans="1:8" x14ac:dyDescent="0.2">
      <c r="A29" s="12">
        <v>27</v>
      </c>
      <c r="B29" s="16" t="s">
        <v>42</v>
      </c>
      <c r="C29" s="17">
        <v>7.5</v>
      </c>
      <c r="D29" s="48">
        <v>7.4</v>
      </c>
      <c r="E29" s="5">
        <f>($C$29)-$D$29</f>
        <v>9.9999999999999645E-2</v>
      </c>
      <c r="F29" s="46">
        <v>7.1</v>
      </c>
      <c r="G29" s="5">
        <f>($C$29)-$F$29</f>
        <v>0.40000000000000036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30-09-'25 r. w proc.*</v>
      </c>
      <c r="E3" s="32" t="str">
        <f>T('2s.bezr.pow.'!D2)</f>
        <v>Stopa bezrobocia stan na 31-08-'25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30-09-'24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3.6</v>
      </c>
      <c r="E4" s="46">
        <f>INDEX('2s.bezr.pow.'!B3:G29,MATCH(1,B4:B30,0),3)</f>
        <v>3.6</v>
      </c>
      <c r="F4" s="11">
        <f>INDEX('2s.bezr.pow.'!B3:G29,MATCH(1,B4:B30,0),4)</f>
        <v>0</v>
      </c>
      <c r="G4" s="46">
        <f>INDEX('2s.bezr.pow.'!B3:G29,MATCH(1,B4:B30,0),5)</f>
        <v>2.9</v>
      </c>
      <c r="H4" s="11">
        <f>INDEX('2s.bezr.pow.'!B3:G29,MATCH(1,B4:B30,0),6)</f>
        <v>0.70000000000000018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4.4000000000000004</v>
      </c>
      <c r="E5" s="46">
        <f>INDEX('2s.bezr.pow.'!B3:G29,MATCH(2,B4:B30,0),3)</f>
        <v>4.4000000000000004</v>
      </c>
      <c r="F5" s="11">
        <f>INDEX('2s.bezr.pow.'!B3:G29,MATCH(2,B4:B30,0),4)</f>
        <v>0</v>
      </c>
      <c r="G5" s="46">
        <f>INDEX('2s.bezr.pow.'!B3:G29,MATCH(2,B4:B30,0),5)</f>
        <v>4</v>
      </c>
      <c r="H5" s="11">
        <f>INDEX('2s.bezr.pow.'!B3:G29,MATCH(2,B4:B30,0),6)</f>
        <v>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5.0999999999999996</v>
      </c>
      <c r="E6" s="46">
        <f>INDEX('2s.bezr.pow.'!B3:G29,MATCH(3,B4:B30,0),3)</f>
        <v>5</v>
      </c>
      <c r="F6" s="11">
        <f>INDEX('2s.bezr.pow.'!B3:G29,MATCH(3,B4:B30,0),4)</f>
        <v>9.9999999999999645E-2</v>
      </c>
      <c r="G6" s="46">
        <f>INDEX('2s.bezr.pow.'!B3:G29,MATCH(3,B4:B30,0),5)</f>
        <v>4.4000000000000004</v>
      </c>
      <c r="H6" s="11">
        <f>INDEX('2s.bezr.pow.'!B3:G29,MATCH(3,B4:B30,0),6)</f>
        <v>0.69999999999999929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5.6</v>
      </c>
      <c r="E7" s="46">
        <f>INDEX('2s.bezr.pow.'!B3:G29,MATCH(4,B4:B30,0),3)</f>
        <v>5.5</v>
      </c>
      <c r="F7" s="11">
        <f>INDEX('2s.bezr.pow.'!B3:G29,MATCH(4,B4:B30,0),4)</f>
        <v>9.9999999999999645E-2</v>
      </c>
      <c r="G7" s="46">
        <f>INDEX('2s.bezr.pow.'!B3:G29,MATCH(4,B4:B30,0),5)</f>
        <v>5</v>
      </c>
      <c r="H7" s="11">
        <f>INDEX('2s.bezr.pow.'!B3:G29,MATCH(4,B4:B30,0),6)</f>
        <v>0.59999999999999964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stalowowolski</v>
      </c>
      <c r="D8" s="5">
        <f>INDEX('2s.bezr.pow.'!B3:G29,MATCH(5,B4:B30,0),2)</f>
        <v>5.9</v>
      </c>
      <c r="E8" s="46">
        <f>INDEX('2s.bezr.pow.'!B3:G29,MATCH(5,B4:B30,0),3)</f>
        <v>5.9</v>
      </c>
      <c r="F8" s="11">
        <f>INDEX('2s.bezr.pow.'!B3:G29,MATCH(5,B4:B30,0),4)</f>
        <v>0</v>
      </c>
      <c r="G8" s="46">
        <f>INDEX('2s.bezr.pow.'!B3:G29,MATCH(5,B4:B30,0),5)</f>
        <v>4.9000000000000004</v>
      </c>
      <c r="H8" s="11">
        <f>INDEX('2s.bezr.pow.'!B3:G29,MATCH(5,B4:B30,0),6)</f>
        <v>1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mielecki</v>
      </c>
      <c r="D9" s="5">
        <f>INDEX('2s.bezr.pow.'!B3:G29,MATCH(6,B4:B30,0),2)</f>
        <v>6</v>
      </c>
      <c r="E9" s="46">
        <f>INDEX('2s.bezr.pow.'!B3:G29,MATCH(6,B4:B30,0),3)</f>
        <v>5.9</v>
      </c>
      <c r="F9" s="11">
        <f>INDEX('2s.bezr.pow.'!B3:G29,MATCH(6,B4:B30,0),4)</f>
        <v>9.9999999999999645E-2</v>
      </c>
      <c r="G9" s="46">
        <f>INDEX('2s.bezr.pow.'!B3:G29,MATCH(6,B4:B30,0),5)</f>
        <v>5.3</v>
      </c>
      <c r="H9" s="11">
        <f>INDEX('2s.bezr.pow.'!B3:G29,MATCH(6,B4:B30,0),6)</f>
        <v>0.70000000000000018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7.5</v>
      </c>
      <c r="E10" s="46">
        <f>INDEX('2s.bezr.pow.'!B3:G29,MATCH(7,B4:B30,0),3)</f>
        <v>7.4</v>
      </c>
      <c r="F10" s="11">
        <f>INDEX('2s.bezr.pow.'!B3:G29,MATCH(7,B4:B30,0),4)</f>
        <v>9.9999999999999645E-2</v>
      </c>
      <c r="G10" s="46">
        <f>INDEX('2s.bezr.pow.'!B3:G29,MATCH(7,B4:B30,0),5)</f>
        <v>7.1</v>
      </c>
      <c r="H10" s="11">
        <f>INDEX('2s.bezr.pow.'!B3:G29,MATCH(7,B4:B30,0),6)</f>
        <v>0.40000000000000036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8</v>
      </c>
      <c r="E11" s="46">
        <f>INDEX('2s.bezr.pow.'!B3:G29,MATCH(8,B4:B30,0),3)</f>
        <v>7.9</v>
      </c>
      <c r="F11" s="11">
        <f>INDEX('2s.bezr.pow.'!B3:G29,MATCH(8,B4:B30,0),4)</f>
        <v>9.9999999999999645E-2</v>
      </c>
      <c r="G11" s="46">
        <f>INDEX('2s.bezr.pow.'!B3:G29,MATCH(8,B4:B30,0),5)</f>
        <v>7.3</v>
      </c>
      <c r="H11" s="11">
        <f>INDEX('2s.bezr.pow.'!B3:G29,MATCH(8,B4:B30,0),6)</f>
        <v>0.70000000000000018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tarnobrzeski</v>
      </c>
      <c r="D12" s="5">
        <f>INDEX('2s.bezr.pow.'!B3:G29,MATCH(9,B4:B30,0),2)</f>
        <v>8.1</v>
      </c>
      <c r="E12" s="46">
        <f>INDEX('2s.bezr.pow.'!B3:G29,MATCH(9,B4:B30,0),3)</f>
        <v>7.8</v>
      </c>
      <c r="F12" s="11">
        <f>INDEX('2s.bezr.pow.'!B3:G29,MATCH(9,B4:B30,0),4)</f>
        <v>0.29999999999999982</v>
      </c>
      <c r="G12" s="46">
        <f>INDEX('2s.bezr.pow.'!B3:G29,MATCH(9,B4:B30,0),5)</f>
        <v>7.2</v>
      </c>
      <c r="H12" s="11">
        <f>INDEX('2s.bezr.pow.'!B3:G29,MATCH(9,B4:B30,0),6)</f>
        <v>0.89999999999999947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8.4</v>
      </c>
      <c r="E13" s="46">
        <f>INDEX('2s.bezr.pow.'!B3:G29,MATCH(10,B4:B30,0),3)</f>
        <v>8.5</v>
      </c>
      <c r="F13" s="11">
        <f>INDEX('2s.bezr.pow.'!B3:G29,MATCH(10,B4:B30,0),4)</f>
        <v>-9.9999999999999645E-2</v>
      </c>
      <c r="G13" s="46">
        <f>INDEX('2s.bezr.pow.'!B3:G29,MATCH(10,B4:B30,0),5)</f>
        <v>8.1</v>
      </c>
      <c r="H13" s="11">
        <f>INDEX('2s.bezr.pow.'!B3:G29,MATCH(10,B4:B30,0),6)</f>
        <v>0.30000000000000071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9</v>
      </c>
      <c r="E14" s="46">
        <f>INDEX('2s.bezr.pow.'!B3:G29,MATCH(11,B4:B30,0),3)</f>
        <v>8.9</v>
      </c>
      <c r="F14" s="11">
        <f>INDEX('2s.bezr.pow.'!B3:G29,MATCH(11,B4:B30,0),4)</f>
        <v>9.9999999999999645E-2</v>
      </c>
      <c r="G14" s="46">
        <f>INDEX('2s.bezr.pow.'!B3:G29,MATCH(11,B4:B30,0),5)</f>
        <v>8.4</v>
      </c>
      <c r="H14" s="11">
        <f>INDEX('2s.bezr.pow.'!B3:G29,MATCH(11,B4:B30,0),6)</f>
        <v>0.59999999999999964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krośnieński</v>
      </c>
      <c r="D15" s="5">
        <f>INDEX('2s.bezr.pow.'!B3:G29,MATCH(12,B4:B30,0),2)</f>
        <v>9.1</v>
      </c>
      <c r="E15" s="46">
        <f>INDEX('2s.bezr.pow.'!B3:G29,MATCH(12,B4:B30,0),3)</f>
        <v>9.1999999999999993</v>
      </c>
      <c r="F15" s="11">
        <f>INDEX('2s.bezr.pow.'!B3:G29,MATCH(12,B4:B30,0),4)</f>
        <v>-9.9999999999999645E-2</v>
      </c>
      <c r="G15" s="46">
        <f>INDEX('2s.bezr.pow.'!B3:G29,MATCH(12,B4:B30,0),5)</f>
        <v>8.1999999999999993</v>
      </c>
      <c r="H15" s="11">
        <f>INDEX('2s.bezr.pow.'!B3:G29,MATCH(12,B4:B30,0),6)</f>
        <v>0.90000000000000036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9.1</v>
      </c>
      <c r="E16" s="46">
        <f>INDEX('2s.bezr.pow.'!B3:G29,MATCH(13,B4:B30,0),3)</f>
        <v>9</v>
      </c>
      <c r="F16" s="11">
        <f>INDEX('2s.bezr.pow.'!B3:G29,MATCH(13,B4:B30,0),4)</f>
        <v>9.9999999999999645E-2</v>
      </c>
      <c r="G16" s="46">
        <f>INDEX('2s.bezr.pow.'!B3:G29,MATCH(13,B4:B30,0),5)</f>
        <v>8.3000000000000007</v>
      </c>
      <c r="H16" s="11">
        <f>INDEX('2s.bezr.pow.'!B3:G29,MATCH(13,B4:B30,0),6)</f>
        <v>0.79999999999999893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6</v>
      </c>
      <c r="C17" s="3" t="str">
        <f>INDEX('2s.bezr.pow.'!B3:G29,MATCH(14,B4:B30,0),1)</f>
        <v>Powiat łańcucki</v>
      </c>
      <c r="D17" s="5">
        <f>INDEX('2s.bezr.pow.'!B3:G29,MATCH(14,B4:B30,0),2)</f>
        <v>9.3000000000000007</v>
      </c>
      <c r="E17" s="46">
        <f>INDEX('2s.bezr.pow.'!B3:G29,MATCH(14,B4:B30,0),3)</f>
        <v>9.3000000000000007</v>
      </c>
      <c r="F17" s="11">
        <f>INDEX('2s.bezr.pow.'!B3:G29,MATCH(14,B4:B30,0),4)</f>
        <v>0</v>
      </c>
      <c r="G17" s="46">
        <f>INDEX('2s.bezr.pow.'!B3:G29,MATCH(14,B4:B30,0),5)</f>
        <v>9.1</v>
      </c>
      <c r="H17" s="11">
        <f>INDEX('2s.bezr.pow.'!B3:G29,MATCH(14,B4:B30,0),6)</f>
        <v>0.20000000000000107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9.9</v>
      </c>
      <c r="E18" s="46">
        <f>INDEX('2s.bezr.pow.'!B3:G29,MATCH(15,B4:B30,0),3)</f>
        <v>9.8000000000000007</v>
      </c>
      <c r="F18" s="11">
        <f>INDEX('2s.bezr.pow.'!B3:G29,MATCH(15,B4:B30,0),4)</f>
        <v>9.9999999999999645E-2</v>
      </c>
      <c r="G18" s="46">
        <f>INDEX('2s.bezr.pow.'!B3:G29,MATCH(15,B4:B30,0),5)</f>
        <v>9.6</v>
      </c>
      <c r="H18" s="11">
        <f>INDEX('2s.bezr.pow.'!B3:G29,MATCH(15,B4:B30,0),6)</f>
        <v>0.30000000000000071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10.7</v>
      </c>
      <c r="E19" s="46">
        <f>INDEX('2s.bezr.pow.'!B3:G29,MATCH(16,B4:B30,0),3)</f>
        <v>10.6</v>
      </c>
      <c r="F19" s="11">
        <f>INDEX('2s.bezr.pow.'!B3:G29,MATCH(16,B4:B30,0),4)</f>
        <v>9.9999999999999645E-2</v>
      </c>
      <c r="G19" s="46">
        <f>INDEX('2s.bezr.pow.'!B3:G29,MATCH(16,B4:B30,0),5)</f>
        <v>9.9</v>
      </c>
      <c r="H19" s="11">
        <f>INDEX('2s.bezr.pow.'!B3:G29,MATCH(16,B4:B30,0),6)</f>
        <v>0.79999999999999893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jarosławski</v>
      </c>
      <c r="D20" s="5">
        <f>INDEX('2s.bezr.pow.'!B3:G29,MATCH(17,B4:B30,0),2)</f>
        <v>11.3</v>
      </c>
      <c r="E20" s="46">
        <f>INDEX('2s.bezr.pow.'!B3:G29,MATCH(17,B4:B30,0),3)</f>
        <v>11.2</v>
      </c>
      <c r="F20" s="11">
        <f>INDEX('2s.bezr.pow.'!B3:G29,MATCH(17,B4:B30,0),4)</f>
        <v>0.10000000000000142</v>
      </c>
      <c r="G20" s="46">
        <f>INDEX('2s.bezr.pow.'!B3:G29,MATCH(17,B4:B30,0),5)</f>
        <v>10.6</v>
      </c>
      <c r="H20" s="11">
        <f>INDEX('2s.bezr.pow.'!B3:G29,MATCH(17,B4:B30,0),6)</f>
        <v>0.70000000000000107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11.4</v>
      </c>
      <c r="E21" s="46">
        <f>INDEX('2s.bezr.pow.'!B3:G29,MATCH(18,B4:B30,0),3)</f>
        <v>11.3</v>
      </c>
      <c r="F21" s="11">
        <f>INDEX('2s.bezr.pow.'!B3:G29,MATCH(18,B4:B30,0),4)</f>
        <v>9.9999999999999645E-2</v>
      </c>
      <c r="G21" s="46">
        <f>INDEX('2s.bezr.pow.'!B3:G29,MATCH(18,B4:B30,0),5)</f>
        <v>10.6</v>
      </c>
      <c r="H21" s="11">
        <f>INDEX('2s.bezr.pow.'!B3:G29,MATCH(18,B4:B30,0),6)</f>
        <v>0.80000000000000071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12.9</v>
      </c>
      <c r="E22" s="46">
        <f>INDEX('2s.bezr.pow.'!B3:G29,MATCH(19,B4:B30,0),3)</f>
        <v>12.8</v>
      </c>
      <c r="F22" s="11">
        <f>INDEX('2s.bezr.pow.'!B3:G29,MATCH(19,B4:B30,0),4)</f>
        <v>9.9999999999999645E-2</v>
      </c>
      <c r="G22" s="46">
        <f>INDEX('2s.bezr.pow.'!B3:G29,MATCH(19,B4:B30,0),5)</f>
        <v>12.3</v>
      </c>
      <c r="H22" s="11">
        <f>INDEX('2s.bezr.pow.'!B3:G29,MATCH(19,B4:B30,0),6)</f>
        <v>0.59999999999999964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leżajski</v>
      </c>
      <c r="D23" s="5">
        <f>INDEX('2s.bezr.pow.'!B3:G29,MATCH(20,B4:B30,0),2)</f>
        <v>13.7</v>
      </c>
      <c r="E23" s="46">
        <f>INDEX('2s.bezr.pow.'!B3:G29,MATCH(20,B4:B30,0),3)</f>
        <v>13.7</v>
      </c>
      <c r="F23" s="11">
        <f>INDEX('2s.bezr.pow.'!B3:G29,MATCH(20,B4:B30,0),4)</f>
        <v>0</v>
      </c>
      <c r="G23" s="46">
        <f>INDEX('2s.bezr.pow.'!B3:G29,MATCH(20,B4:B30,0),5)</f>
        <v>13.5</v>
      </c>
      <c r="H23" s="11">
        <f>INDEX('2s.bezr.pow.'!B3:G29,MATCH(20,B4:B30,0),6)</f>
        <v>0.19999999999999929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5</v>
      </c>
      <c r="C24" s="3" t="str">
        <f>INDEX('2s.bezr.pow.'!B3:G29,MATCH(21,B4:B30,0),1)</f>
        <v>Powiat przeworski</v>
      </c>
      <c r="D24" s="5">
        <f>INDEX('2s.bezr.pow.'!B3:G29,MATCH(21,B4:B30,0),2)</f>
        <v>14</v>
      </c>
      <c r="E24" s="46">
        <f>INDEX('2s.bezr.pow.'!B3:G29,MATCH(21,B4:B30,0),3)</f>
        <v>13.9</v>
      </c>
      <c r="F24" s="11">
        <f>INDEX('2s.bezr.pow.'!B3:G29,MATCH(21,B4:B30,0),4)</f>
        <v>9.9999999999999645E-2</v>
      </c>
      <c r="G24" s="46">
        <f>INDEX('2s.bezr.pow.'!B3:G29,MATCH(21,B4:B30,0),5)</f>
        <v>13.2</v>
      </c>
      <c r="H24" s="11">
        <f>INDEX('2s.bezr.pow.'!B3:G29,MATCH(21,B4:B30,0),6)</f>
        <v>0.80000000000000071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15.1</v>
      </c>
      <c r="E25" s="46">
        <f>INDEX('2s.bezr.pow.'!B3:G29,MATCH(22,B4:B30,0),3)</f>
        <v>15.3</v>
      </c>
      <c r="F25" s="11">
        <f>INDEX('2s.bezr.pow.'!B3:G29,MATCH(22,B4:B30,0),4)</f>
        <v>-0.20000000000000107</v>
      </c>
      <c r="G25" s="46">
        <f>INDEX('2s.bezr.pow.'!B3:G29,MATCH(22,B4:B30,0),5)</f>
        <v>14.7</v>
      </c>
      <c r="H25" s="11">
        <f>INDEX('2s.bezr.pow.'!B3:G29,MATCH(22,B4:B30,0),6)</f>
        <v>0.40000000000000036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15.6</v>
      </c>
      <c r="E26" s="46">
        <f>INDEX('2s.bezr.pow.'!B3:G29,MATCH(23,B4:B30,0),3)</f>
        <v>15.5</v>
      </c>
      <c r="F26" s="11">
        <f>INDEX('2s.bezr.pow.'!B3:G29,MATCH(23,B4:B30,0),4)</f>
        <v>9.9999999999999645E-2</v>
      </c>
      <c r="G26" s="46">
        <f>INDEX('2s.bezr.pow.'!B3:G29,MATCH(23,B4:B30,0),5)</f>
        <v>14.9</v>
      </c>
      <c r="H26" s="11">
        <f>INDEX('2s.bezr.pow.'!B3:G29,MATCH(23,B4:B30,0),6)</f>
        <v>0.69999999999999929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16.2</v>
      </c>
      <c r="E27" s="46">
        <f>INDEX('2s.bezr.pow.'!B3:G29,MATCH(24,B4:B30,0),3)</f>
        <v>16.2</v>
      </c>
      <c r="F27" s="11">
        <f>INDEX('2s.bezr.pow.'!B3:G29,MATCH(24,B4:B30,0),4)</f>
        <v>0</v>
      </c>
      <c r="G27" s="46">
        <f>INDEX('2s.bezr.pow.'!B3:G29,MATCH(24,B4:B30,0),5)</f>
        <v>16.2</v>
      </c>
      <c r="H27" s="11">
        <f>INDEX('2s.bezr.pow.'!B3:G29,MATCH(24,B4:B30,0),6)</f>
        <v>0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17.100000000000001</v>
      </c>
      <c r="E28" s="46">
        <f>INDEX('2s.bezr.pow.'!B3:G29,MATCH(25,B4:B30,0),3)</f>
        <v>17.3</v>
      </c>
      <c r="F28" s="11">
        <f>INDEX('2s.bezr.pow.'!B3:G29,MATCH(25,B4:B30,0),4)</f>
        <v>-0.19999999999999929</v>
      </c>
      <c r="G28" s="46">
        <f>INDEX('2s.bezr.pow.'!B3:G29,MATCH(25,B4:B30,0),5)</f>
        <v>16.7</v>
      </c>
      <c r="H28" s="11">
        <f>INDEX('2s.bezr.pow.'!B3:G29,MATCH(25,B4:B30,0),6)</f>
        <v>0.40000000000000213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17.899999999999999</v>
      </c>
      <c r="E29" s="42">
        <f>INDEX('2s.bezr.pow.'!B3:G29,MATCH(26,B4:B30,0),3)</f>
        <v>17.8</v>
      </c>
      <c r="F29" s="25">
        <f>INDEX('2s.bezr.pow.'!B3:G29,MATCH(26,B4:B30,0),4)</f>
        <v>9.9999999999997868E-2</v>
      </c>
      <c r="G29" s="42">
        <f>INDEX('2s.bezr.pow.'!B3:G29,MATCH(26,B4:B30,0),5)</f>
        <v>17.3</v>
      </c>
      <c r="H29" s="25">
        <f>INDEX('2s.bezr.pow.'!B3:G29,MATCH(26,B4:B30,0),6)</f>
        <v>0.59999999999999787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19.5</v>
      </c>
      <c r="E30" s="46">
        <f>INDEX('2s.bezr.pow.'!B3:G29,MATCH(27,B4:B30,0),3)</f>
        <v>19.600000000000001</v>
      </c>
      <c r="F30" s="5">
        <f>INDEX('2s.bezr.pow.'!B3:G29,MATCH(27,B4:B30,0),4)</f>
        <v>-0.10000000000000142</v>
      </c>
      <c r="G30" s="46">
        <f>INDEX('2s.bezr.pow.'!B3:G29,MATCH(27,B4:B30,0),5)</f>
        <v>19.600000000000001</v>
      </c>
      <c r="H30" s="5">
        <f>INDEX('2s.bezr.pow.'!B3:G29,MATCH(27,B4:B30,0),6)</f>
        <v>-0.10000000000000142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2025-10-30T14:39:57Z</dcterms:modified>
</cp:coreProperties>
</file>