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AppData\Local\Temp\ezdpuw\20240830081313920\"/>
    </mc:Choice>
  </mc:AlternateContent>
  <xr:revisionPtr revIDLastSave="0" documentId="13_ncr:1_{0390E8D9-91D8-4373-9606-9409225D757E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28" l="1"/>
  <c r="C28" i="3"/>
  <c r="D28" i="3"/>
  <c r="F28" i="1"/>
  <c r="G28" i="1" s="1"/>
  <c r="C28" i="5"/>
  <c r="H3" i="18"/>
  <c r="G3" i="18"/>
  <c r="F3" i="18"/>
  <c r="E3" i="18"/>
  <c r="D3" i="18"/>
  <c r="AF3" i="14" l="1"/>
  <c r="AB3" i="14"/>
  <c r="AC3" i="14"/>
  <c r="AG3" i="14"/>
  <c r="E29" i="28"/>
  <c r="D28" i="10"/>
  <c r="E27" i="3" l="1"/>
  <c r="D24" i="2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D29" i="28"/>
  <c r="V29" i="28" l="1"/>
  <c r="X29" i="28" s="1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P18" i="28" l="1"/>
  <c r="AD4" i="28"/>
  <c r="AD5" i="28"/>
  <c r="AD6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F5" i="28" l="1"/>
  <c r="AE5" i="28"/>
  <c r="AF19" i="28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B4" i="28" l="1"/>
  <c r="AI4" i="28"/>
  <c r="AA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AE22" i="14" l="1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A4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D28" i="1" l="1"/>
  <c r="E29" i="14" l="1"/>
  <c r="E28" i="1"/>
  <c r="V4" i="14" s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X14" i="14"/>
  <c r="W4" i="14"/>
  <c r="X29" i="14"/>
  <c r="X5" i="14"/>
  <c r="X18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7" i="21" l="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<sst xmlns="http://schemas.openxmlformats.org/spreadsheetml/2006/main" count="441" uniqueCount="103">
  <si>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</si>
  <si>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</si>
  <si>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</si>
  <si>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</si>
  <si>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</si>
  <si>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</si>
  <si>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</si>
  <si>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</si>
  <si>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</si>
  <si>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</si>
  <si>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</si>
  <si>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</si>
  <si>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</si>
  <si>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</si>
  <si>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</si>
  <si>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</si>
  <si>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</si>
  <si>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</si>
  <si>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</si>
  <si>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</si>
  <si>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</si>
  <si>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</si>
  <si>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</si>
  <si>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</si>
  <si>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</si>
  <si>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</si>
  <si>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</si>
  <si>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</si>
  <si>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</si>
  <si>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</si>
  <si>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</si>
  <si>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</si>
  <si>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</si>
  <si>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</si>
  <si>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</si>
  <si>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</si>
  <si>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</si>
  <si>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</si>
  <si>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</si>
  <si>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</si>
  <si>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</si>
  <si>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</si>
  <si>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</si>
  <si>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</si>
  <si>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</si>
  <si>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</si>
  <si>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</si>
  <si>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</si>
  <si>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</si>
  <si>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</si>
  <si>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</si>
  <si>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</si>
  <si>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</si>
  <si>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</si>
  <si>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</si>
  <si>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</si>
  <si>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</si>
  <si>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</si>
  <si>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</si>
  <si>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</si>
  <si>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</si>
  <si>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</si>
  <si>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</si>
  <si>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</si>
  <si>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</si>
  <si>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</si>
  <si>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</si>
  <si>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</si>
  <si>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wzrost/spadek</t>
  </si>
  <si>
    <t>Zmiana stanu na koniec okresu [liczba bezrobotnych]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</si>
  <si>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</si>
  <si>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</si>
  <si>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</si>
  <si>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</si>
  <si>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liczba bezrobotnych kobiet stan na 30-06-'24 r.</t>
  </si>
  <si>
    <t>liczba ofert w 06-'24 r.</t>
  </si>
  <si>
    <t>liczba bezrobotnych ogółem stan na 30-06-'24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</si>
  <si>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31-07-'24 r.</t>
    </r>
  </si>
  <si>
    <t>liczba bezrobotnych ogółem stan na 31-07-'23 r.</t>
  </si>
  <si>
    <t>liczba bezrobotnych kobiet stan na 31-07-'24 r.</t>
  </si>
  <si>
    <t>liczba bezrobotnych kobiet stan na 31-07-'23 r.</t>
  </si>
  <si>
    <r>
      <t>liczba bezrobotnych zam. na wsi stan na 31</t>
    </r>
    <r>
      <rPr>
        <sz val="12"/>
        <color theme="1"/>
        <rFont val="Arial"/>
        <family val="2"/>
        <charset val="238"/>
      </rPr>
      <t>-07-'23 r.</t>
    </r>
  </si>
  <si>
    <t>liczba bezrobotnych zam. na wsi stan na 30-06-'24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</si>
  <si>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31-07-'24 r.</t>
    </r>
  </si>
  <si>
    <t>liczba bezrobotnych pow. 12 m-cy stan na 30-06-'24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</si>
  <si>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31-07-'23 r.</t>
    </r>
  </si>
  <si>
    <r>
      <t>liczba bezrobotnych pow. 12 m-cy stan na 31</t>
    </r>
    <r>
      <rPr>
        <sz val="12"/>
        <color theme="1"/>
        <rFont val="Arial"/>
        <family val="2"/>
        <charset val="238"/>
      </rPr>
      <t>-07-'24 r.</t>
    </r>
  </si>
  <si>
    <t>liczba bezrobotnych do 30 r. ż. stan na 30-06-'24 r.</t>
  </si>
  <si>
    <r>
      <t>liczba bezrobotnych do 30 r. ż. stan na 31</t>
    </r>
    <r>
      <rPr>
        <sz val="12"/>
        <color theme="1"/>
        <rFont val="Arial"/>
        <family val="2"/>
        <charset val="238"/>
      </rPr>
      <t>-07-'24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</si>
  <si>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-07-'23 r.</t>
    </r>
  </si>
  <si>
    <t>liczba bezrobotnych 50+ stan na 30-06-'24 r.</t>
  </si>
  <si>
    <r>
      <t>liczba bezrobotnych 50+ stan na 31</t>
    </r>
    <r>
      <rPr>
        <sz val="12"/>
        <color theme="1"/>
        <rFont val="Arial"/>
        <family val="2"/>
        <charset val="238"/>
      </rPr>
      <t>-07-'24 r.</t>
    </r>
  </si>
  <si>
    <r>
      <t>liczba bezrobotnych 50+ stan na 31</t>
    </r>
    <r>
      <rPr>
        <sz val="12"/>
        <color theme="1"/>
        <rFont val="Arial"/>
        <family val="2"/>
        <charset val="238"/>
      </rPr>
      <t>-07-'23 r.</t>
    </r>
  </si>
  <si>
    <t>liczba ofert w 07-'24 r.</t>
  </si>
  <si>
    <t>liczba ofert w 07-'23 r.</t>
  </si>
  <si>
    <t>podjecia pracy niesubs. I-VII 2023</t>
  </si>
  <si>
    <t>podjecia pracy niesubs. I-VII 2024</t>
  </si>
  <si>
    <t>praca subs. I-VII 2023</t>
  </si>
  <si>
    <t>praca subs. I-VII 2024</t>
  </si>
  <si>
    <t>staże I-VII 2023</t>
  </si>
  <si>
    <t>staże I-VII 2024</t>
  </si>
  <si>
    <t>stan na 31-07-2023</t>
  </si>
  <si>
    <t>stan na 31-07-2024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</si>
</sst>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1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1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1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6" borderId="27" xfId="0" applyFont="1" applyFill="1" applyBorder="1" applyAlignment="1">
      <alignment horizontal="center" vertical="center" wrapText="1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9" fillId="2" borderId="25" xfId="0" applyNumberFormat="1" applyFont="1" applyFill="1" applyBorder="1" applyAlignment="1">
      <alignment horizontal="center" vertical="center"/>
    </xf>
    <xf numFmtId="1" fontId="9" fillId="7" borderId="29" xfId="0" applyNumberFormat="1" applyFont="1" applyFill="1" applyBorder="1" applyAlignment="1">
      <alignment horizontal="center" vertical="center"/>
    </xf>
    <xf numFmtId="1" fontId="9" fillId="7" borderId="30" xfId="0" applyNumberFormat="1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3" fillId="8" borderId="1" xfId="0" applyNumberFormat="1" applyFont="1" applyFill="1" applyBorder="1" applyAlignment="1">
      <alignment horizontal="left" vertical="center"/>
    </xf>
    <xf numFmtId="3" fontId="2" fillId="8" borderId="1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8" borderId="4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" fontId="9" fillId="7" borderId="18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center" vertical="center"/>
    </xf>
    <xf numFmtId="1" fontId="9" fillId="7" borderId="14" xfId="0" applyNumberFormat="1" applyFont="1" applyFill="1" applyBorder="1" applyAlignment="1">
      <alignment horizontal="center" vertical="center"/>
    </xf>
    <xf numFmtId="1" fontId="9" fillId="7" borderId="20" xfId="0" applyNumberFormat="1" applyFont="1" applyFill="1" applyBorder="1" applyAlignment="1">
      <alignment horizontal="center" vertical="center"/>
    </xf>
    <xf numFmtId="2" fontId="9" fillId="7" borderId="19" xfId="0" applyNumberFormat="1" applyFont="1" applyFill="1" applyBorder="1" applyAlignment="1">
      <alignment horizontal="center" vertical="center" wrapText="1"/>
    </xf>
    <xf numFmtId="2" fontId="9" fillId="7" borderId="38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3" fontId="2" fillId="9" borderId="1" xfId="0" applyNumberFormat="1" applyFont="1" applyFill="1" applyBorder="1" applyAlignment="1">
      <alignment horizontal="center" vertical="center"/>
    </xf>
    <xf numFmtId="3" fontId="2" fillId="9" borderId="42" xfId="0" applyNumberFormat="1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EAF0F6"/>
      <color rgb="FFFEF4EC"/>
      <color rgb="FFF5E4E3"/>
      <color rgb="FFFDE2CB"/>
      <color rgb="FF0000FF"/>
      <color rgb="FFFABF8F"/>
      <color rgb="FFC49F00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dębicki</c:v>
                </c:pt>
                <c:pt idx="10">
                  <c:v>Przemyśl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leżajski</c:v>
                </c:pt>
                <c:pt idx="16">
                  <c:v>niżański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784</c:v>
                </c:pt>
                <c:pt idx="1">
                  <c:v>1000</c:v>
                </c:pt>
                <c:pt idx="2">
                  <c:v>1058</c:v>
                </c:pt>
                <c:pt idx="3">
                  <c:v>1252</c:v>
                </c:pt>
                <c:pt idx="4">
                  <c:v>1492</c:v>
                </c:pt>
                <c:pt idx="5">
                  <c:v>1505</c:v>
                </c:pt>
                <c:pt idx="6">
                  <c:v>1594</c:v>
                </c:pt>
                <c:pt idx="7">
                  <c:v>1960</c:v>
                </c:pt>
                <c:pt idx="8">
                  <c:v>2158</c:v>
                </c:pt>
                <c:pt idx="9">
                  <c:v>2221</c:v>
                </c:pt>
                <c:pt idx="10">
                  <c:v>2249</c:v>
                </c:pt>
                <c:pt idx="11">
                  <c:v>2387</c:v>
                </c:pt>
                <c:pt idx="12">
                  <c:v>2570</c:v>
                </c:pt>
                <c:pt idx="13">
                  <c:v>2721</c:v>
                </c:pt>
                <c:pt idx="14">
                  <c:v>2771</c:v>
                </c:pt>
                <c:pt idx="15">
                  <c:v>2812</c:v>
                </c:pt>
                <c:pt idx="16">
                  <c:v>2878</c:v>
                </c:pt>
                <c:pt idx="17">
                  <c:v>2993</c:v>
                </c:pt>
                <c:pt idx="18">
                  <c:v>3042</c:v>
                </c:pt>
                <c:pt idx="19">
                  <c:v>3169</c:v>
                </c:pt>
                <c:pt idx="20">
                  <c:v>3484</c:v>
                </c:pt>
                <c:pt idx="21">
                  <c:v>4290</c:v>
                </c:pt>
                <c:pt idx="22">
                  <c:v>4458</c:v>
                </c:pt>
                <c:pt idx="23">
                  <c:v>4706</c:v>
                </c:pt>
                <c:pt idx="24">
                  <c:v>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przemyski</c:v>
                </c:pt>
                <c:pt idx="1">
                  <c:v>brzozowski</c:v>
                </c:pt>
                <c:pt idx="2">
                  <c:v>bieszczadzki</c:v>
                </c:pt>
                <c:pt idx="3">
                  <c:v>sanocki</c:v>
                </c:pt>
                <c:pt idx="4">
                  <c:v>Krosno</c:v>
                </c:pt>
                <c:pt idx="5">
                  <c:v>leski</c:v>
                </c:pt>
                <c:pt idx="6">
                  <c:v>łańcucki</c:v>
                </c:pt>
                <c:pt idx="7">
                  <c:v>strzyżowski</c:v>
                </c:pt>
                <c:pt idx="8">
                  <c:v>lubaczowski</c:v>
                </c:pt>
                <c:pt idx="9">
                  <c:v>Przemyśl</c:v>
                </c:pt>
                <c:pt idx="10">
                  <c:v>leżajski</c:v>
                </c:pt>
                <c:pt idx="11">
                  <c:v>Tarnobrzeg</c:v>
                </c:pt>
                <c:pt idx="12">
                  <c:v>niżański</c:v>
                </c:pt>
                <c:pt idx="13">
                  <c:v>kolbuszowski</c:v>
                </c:pt>
                <c:pt idx="14">
                  <c:v>ropczycko-sędziszowski</c:v>
                </c:pt>
                <c:pt idx="15">
                  <c:v>tarnobrzeski </c:v>
                </c:pt>
                <c:pt idx="16">
                  <c:v>krośnieński</c:v>
                </c:pt>
                <c:pt idx="17">
                  <c:v>stalowowolski</c:v>
                </c:pt>
                <c:pt idx="18">
                  <c:v>jarosławski</c:v>
                </c:pt>
                <c:pt idx="19">
                  <c:v>rzeszowski</c:v>
                </c:pt>
                <c:pt idx="20">
                  <c:v>dębicki</c:v>
                </c:pt>
                <c:pt idx="21">
                  <c:v>przeworski</c:v>
                </c:pt>
                <c:pt idx="22">
                  <c:v>jasielski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8</c:v>
                </c:pt>
                <c:pt idx="2">
                  <c:v>24</c:v>
                </c:pt>
                <c:pt idx="3">
                  <c:v>29</c:v>
                </c:pt>
                <c:pt idx="4">
                  <c:v>31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41</c:v>
                </c:pt>
                <c:pt idx="9">
                  <c:v>51</c:v>
                </c:pt>
                <c:pt idx="10">
                  <c:v>54</c:v>
                </c:pt>
                <c:pt idx="11">
                  <c:v>66</c:v>
                </c:pt>
                <c:pt idx="12">
                  <c:v>76</c:v>
                </c:pt>
                <c:pt idx="13">
                  <c:v>79</c:v>
                </c:pt>
                <c:pt idx="14">
                  <c:v>81</c:v>
                </c:pt>
                <c:pt idx="15">
                  <c:v>84</c:v>
                </c:pt>
                <c:pt idx="16">
                  <c:v>91</c:v>
                </c:pt>
                <c:pt idx="17">
                  <c:v>91</c:v>
                </c:pt>
                <c:pt idx="18">
                  <c:v>98</c:v>
                </c:pt>
                <c:pt idx="19">
                  <c:v>114</c:v>
                </c:pt>
                <c:pt idx="20">
                  <c:v>140</c:v>
                </c:pt>
                <c:pt idx="21">
                  <c:v>156</c:v>
                </c:pt>
                <c:pt idx="22">
                  <c:v>164</c:v>
                </c:pt>
                <c:pt idx="23">
                  <c:v>247</c:v>
                </c:pt>
                <c:pt idx="24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dębicki</c:v>
                </c:pt>
                <c:pt idx="1">
                  <c:v>leski</c:v>
                </c:pt>
                <c:pt idx="2">
                  <c:v>bieszczadzki</c:v>
                </c:pt>
                <c:pt idx="3">
                  <c:v>łańcucki</c:v>
                </c:pt>
                <c:pt idx="4">
                  <c:v>kolbuszowski</c:v>
                </c:pt>
                <c:pt idx="5">
                  <c:v>leżajski</c:v>
                </c:pt>
                <c:pt idx="6">
                  <c:v>lubaczowski</c:v>
                </c:pt>
                <c:pt idx="7">
                  <c:v>przeworski</c:v>
                </c:pt>
                <c:pt idx="8">
                  <c:v>Przemyśl</c:v>
                </c:pt>
                <c:pt idx="9">
                  <c:v>jasielski</c:v>
                </c:pt>
                <c:pt idx="10">
                  <c:v>ropczycko-sędziszowski</c:v>
                </c:pt>
                <c:pt idx="11">
                  <c:v>Krosno</c:v>
                </c:pt>
                <c:pt idx="12">
                  <c:v>krośnieński</c:v>
                </c:pt>
                <c:pt idx="13">
                  <c:v>Tarnobrzeg</c:v>
                </c:pt>
                <c:pt idx="14">
                  <c:v>strzyżowski</c:v>
                </c:pt>
                <c:pt idx="15">
                  <c:v>rzeszowski</c:v>
                </c:pt>
                <c:pt idx="16">
                  <c:v>jarosławski</c:v>
                </c:pt>
                <c:pt idx="17">
                  <c:v>tarnobrzeski </c:v>
                </c:pt>
                <c:pt idx="18">
                  <c:v>przemyski</c:v>
                </c:pt>
                <c:pt idx="19">
                  <c:v>sanocki</c:v>
                </c:pt>
                <c:pt idx="20">
                  <c:v>brzozowski</c:v>
                </c:pt>
                <c:pt idx="21">
                  <c:v>niżański</c:v>
                </c:pt>
                <c:pt idx="22">
                  <c:v>Rzeszów</c:v>
                </c:pt>
                <c:pt idx="23">
                  <c:v>stalowowolski</c:v>
                </c:pt>
                <c:pt idx="24">
                  <c:v>mielecki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-39</c:v>
                </c:pt>
                <c:pt idx="1">
                  <c:v>-39</c:v>
                </c:pt>
                <c:pt idx="2">
                  <c:v>-31</c:v>
                </c:pt>
                <c:pt idx="3">
                  <c:v>-14</c:v>
                </c:pt>
                <c:pt idx="4">
                  <c:v>-4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13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24</c:v>
                </c:pt>
                <c:pt idx="14">
                  <c:v>34</c:v>
                </c:pt>
                <c:pt idx="15">
                  <c:v>35</c:v>
                </c:pt>
                <c:pt idx="16">
                  <c:v>51</c:v>
                </c:pt>
                <c:pt idx="17">
                  <c:v>56</c:v>
                </c:pt>
                <c:pt idx="18">
                  <c:v>60</c:v>
                </c:pt>
                <c:pt idx="19">
                  <c:v>62</c:v>
                </c:pt>
                <c:pt idx="20">
                  <c:v>79</c:v>
                </c:pt>
                <c:pt idx="21">
                  <c:v>84</c:v>
                </c:pt>
                <c:pt idx="22">
                  <c:v>99</c:v>
                </c:pt>
                <c:pt idx="23">
                  <c:v>100</c:v>
                </c:pt>
                <c:pt idx="24">
                  <c:v>121</c:v>
                </c:pt>
                <c:pt idx="25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dębicki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427</c:v>
                </c:pt>
                <c:pt idx="1">
                  <c:v>472</c:v>
                </c:pt>
                <c:pt idx="2">
                  <c:v>510</c:v>
                </c:pt>
                <c:pt idx="3">
                  <c:v>642</c:v>
                </c:pt>
                <c:pt idx="4">
                  <c:v>675</c:v>
                </c:pt>
                <c:pt idx="5">
                  <c:v>710</c:v>
                </c:pt>
                <c:pt idx="6">
                  <c:v>753</c:v>
                </c:pt>
                <c:pt idx="7">
                  <c:v>1025</c:v>
                </c:pt>
                <c:pt idx="8">
                  <c:v>1081</c:v>
                </c:pt>
                <c:pt idx="9">
                  <c:v>1166</c:v>
                </c:pt>
                <c:pt idx="10">
                  <c:v>1176</c:v>
                </c:pt>
                <c:pt idx="11">
                  <c:v>1344</c:v>
                </c:pt>
                <c:pt idx="12">
                  <c:v>1380</c:v>
                </c:pt>
                <c:pt idx="13">
                  <c:v>1391</c:v>
                </c:pt>
                <c:pt idx="14">
                  <c:v>1397</c:v>
                </c:pt>
                <c:pt idx="15">
                  <c:v>1460</c:v>
                </c:pt>
                <c:pt idx="16">
                  <c:v>1471</c:v>
                </c:pt>
                <c:pt idx="17">
                  <c:v>1483</c:v>
                </c:pt>
                <c:pt idx="18">
                  <c:v>1574</c:v>
                </c:pt>
                <c:pt idx="19">
                  <c:v>1711</c:v>
                </c:pt>
                <c:pt idx="20">
                  <c:v>1818</c:v>
                </c:pt>
                <c:pt idx="21">
                  <c:v>2195</c:v>
                </c:pt>
                <c:pt idx="22">
                  <c:v>2232</c:v>
                </c:pt>
                <c:pt idx="23">
                  <c:v>2563</c:v>
                </c:pt>
                <c:pt idx="24">
                  <c:v>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krośnieński</c:v>
                </c:pt>
                <c:pt idx="11">
                  <c:v>niżański</c:v>
                </c:pt>
                <c:pt idx="12">
                  <c:v>łańcucki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627</c:v>
                </c:pt>
                <c:pt idx="1">
                  <c:v>746</c:v>
                </c:pt>
                <c:pt idx="2">
                  <c:v>993</c:v>
                </c:pt>
                <c:pt idx="3">
                  <c:v>1062</c:v>
                </c:pt>
                <c:pt idx="4">
                  <c:v>1228</c:v>
                </c:pt>
                <c:pt idx="5">
                  <c:v>1340</c:v>
                </c:pt>
                <c:pt idx="6">
                  <c:v>1386</c:v>
                </c:pt>
                <c:pt idx="7">
                  <c:v>1403</c:v>
                </c:pt>
                <c:pt idx="8">
                  <c:v>1524</c:v>
                </c:pt>
                <c:pt idx="9">
                  <c:v>1665</c:v>
                </c:pt>
                <c:pt idx="10">
                  <c:v>1890</c:v>
                </c:pt>
                <c:pt idx="11">
                  <c:v>1978</c:v>
                </c:pt>
                <c:pt idx="12">
                  <c:v>1993</c:v>
                </c:pt>
                <c:pt idx="13">
                  <c:v>2229</c:v>
                </c:pt>
                <c:pt idx="14">
                  <c:v>2491</c:v>
                </c:pt>
                <c:pt idx="15">
                  <c:v>2601</c:v>
                </c:pt>
                <c:pt idx="16">
                  <c:v>2708</c:v>
                </c:pt>
                <c:pt idx="17">
                  <c:v>2719</c:v>
                </c:pt>
                <c:pt idx="18">
                  <c:v>3304</c:v>
                </c:pt>
                <c:pt idx="19">
                  <c:v>3321</c:v>
                </c:pt>
                <c:pt idx="20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Przemyśl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331</c:v>
                </c:pt>
                <c:pt idx="1">
                  <c:v>535</c:v>
                </c:pt>
                <c:pt idx="2">
                  <c:v>609</c:v>
                </c:pt>
                <c:pt idx="3">
                  <c:v>626</c:v>
                </c:pt>
                <c:pt idx="4">
                  <c:v>714</c:v>
                </c:pt>
                <c:pt idx="5">
                  <c:v>790</c:v>
                </c:pt>
                <c:pt idx="6">
                  <c:v>828</c:v>
                </c:pt>
                <c:pt idx="7">
                  <c:v>957</c:v>
                </c:pt>
                <c:pt idx="8">
                  <c:v>972</c:v>
                </c:pt>
                <c:pt idx="9">
                  <c:v>1013</c:v>
                </c:pt>
                <c:pt idx="10">
                  <c:v>1204</c:v>
                </c:pt>
                <c:pt idx="11">
                  <c:v>1285</c:v>
                </c:pt>
                <c:pt idx="12">
                  <c:v>1393</c:v>
                </c:pt>
                <c:pt idx="13">
                  <c:v>1438</c:v>
                </c:pt>
                <c:pt idx="14">
                  <c:v>1449</c:v>
                </c:pt>
                <c:pt idx="15">
                  <c:v>1612</c:v>
                </c:pt>
                <c:pt idx="16">
                  <c:v>1628</c:v>
                </c:pt>
                <c:pt idx="17">
                  <c:v>1628</c:v>
                </c:pt>
                <c:pt idx="18">
                  <c:v>1862</c:v>
                </c:pt>
                <c:pt idx="19">
                  <c:v>1900</c:v>
                </c:pt>
                <c:pt idx="20">
                  <c:v>2328</c:v>
                </c:pt>
                <c:pt idx="21">
                  <c:v>2420</c:v>
                </c:pt>
                <c:pt idx="22">
                  <c:v>2491</c:v>
                </c:pt>
                <c:pt idx="23">
                  <c:v>2889</c:v>
                </c:pt>
                <c:pt idx="24">
                  <c:v>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lubaczowski</c:v>
                </c:pt>
                <c:pt idx="7">
                  <c:v>kolbuszowski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sanocki</c:v>
                </c:pt>
                <c:pt idx="14">
                  <c:v>leżajski</c:v>
                </c:pt>
                <c:pt idx="15">
                  <c:v>przemyski</c:v>
                </c:pt>
                <c:pt idx="16">
                  <c:v>mielecki</c:v>
                </c:pt>
                <c:pt idx="17">
                  <c:v>ropczycko-sędziszowski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160</c:v>
                </c:pt>
                <c:pt idx="1">
                  <c:v>199</c:v>
                </c:pt>
                <c:pt idx="2">
                  <c:v>254</c:v>
                </c:pt>
                <c:pt idx="3">
                  <c:v>322</c:v>
                </c:pt>
                <c:pt idx="4">
                  <c:v>360</c:v>
                </c:pt>
                <c:pt idx="5">
                  <c:v>404</c:v>
                </c:pt>
                <c:pt idx="6">
                  <c:v>407</c:v>
                </c:pt>
                <c:pt idx="7">
                  <c:v>409</c:v>
                </c:pt>
                <c:pt idx="8">
                  <c:v>521</c:v>
                </c:pt>
                <c:pt idx="9">
                  <c:v>533</c:v>
                </c:pt>
                <c:pt idx="10">
                  <c:v>659</c:v>
                </c:pt>
                <c:pt idx="11">
                  <c:v>708</c:v>
                </c:pt>
                <c:pt idx="12">
                  <c:v>734</c:v>
                </c:pt>
                <c:pt idx="13">
                  <c:v>734</c:v>
                </c:pt>
                <c:pt idx="14">
                  <c:v>747</c:v>
                </c:pt>
                <c:pt idx="15">
                  <c:v>766</c:v>
                </c:pt>
                <c:pt idx="16">
                  <c:v>769</c:v>
                </c:pt>
                <c:pt idx="17">
                  <c:v>769</c:v>
                </c:pt>
                <c:pt idx="18">
                  <c:v>827</c:v>
                </c:pt>
                <c:pt idx="19">
                  <c:v>855</c:v>
                </c:pt>
                <c:pt idx="20">
                  <c:v>888</c:v>
                </c:pt>
                <c:pt idx="21">
                  <c:v>921</c:v>
                </c:pt>
                <c:pt idx="22">
                  <c:v>1079</c:v>
                </c:pt>
                <c:pt idx="23">
                  <c:v>1146</c:v>
                </c:pt>
                <c:pt idx="24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leżajski</c:v>
                </c:pt>
                <c:pt idx="14">
                  <c:v>przemyski</c:v>
                </c:pt>
                <c:pt idx="15">
                  <c:v>przeworski</c:v>
                </c:pt>
                <c:pt idx="16">
                  <c:v>strzyżowski</c:v>
                </c:pt>
                <c:pt idx="17">
                  <c:v>niżański</c:v>
                </c:pt>
                <c:pt idx="18">
                  <c:v>Przemyśl</c:v>
                </c:pt>
                <c:pt idx="19">
                  <c:v>mielecki</c:v>
                </c:pt>
                <c:pt idx="20">
                  <c:v>brzozowski</c:v>
                </c:pt>
                <c:pt idx="21">
                  <c:v>jasielski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201</c:v>
                </c:pt>
                <c:pt idx="1">
                  <c:v>227</c:v>
                </c:pt>
                <c:pt idx="2">
                  <c:v>298</c:v>
                </c:pt>
                <c:pt idx="3">
                  <c:v>347</c:v>
                </c:pt>
                <c:pt idx="4">
                  <c:v>384</c:v>
                </c:pt>
                <c:pt idx="5">
                  <c:v>404</c:v>
                </c:pt>
                <c:pt idx="6">
                  <c:v>456</c:v>
                </c:pt>
                <c:pt idx="7">
                  <c:v>503</c:v>
                </c:pt>
                <c:pt idx="8">
                  <c:v>515</c:v>
                </c:pt>
                <c:pt idx="9">
                  <c:v>533</c:v>
                </c:pt>
                <c:pt idx="10">
                  <c:v>575</c:v>
                </c:pt>
                <c:pt idx="11">
                  <c:v>579</c:v>
                </c:pt>
                <c:pt idx="12">
                  <c:v>618</c:v>
                </c:pt>
                <c:pt idx="13">
                  <c:v>651</c:v>
                </c:pt>
                <c:pt idx="14">
                  <c:v>666</c:v>
                </c:pt>
                <c:pt idx="15">
                  <c:v>683</c:v>
                </c:pt>
                <c:pt idx="16">
                  <c:v>685</c:v>
                </c:pt>
                <c:pt idx="17">
                  <c:v>689</c:v>
                </c:pt>
                <c:pt idx="18">
                  <c:v>689</c:v>
                </c:pt>
                <c:pt idx="19">
                  <c:v>726</c:v>
                </c:pt>
                <c:pt idx="20">
                  <c:v>851</c:v>
                </c:pt>
                <c:pt idx="21">
                  <c:v>1054</c:v>
                </c:pt>
                <c:pt idx="22">
                  <c:v>1062</c:v>
                </c:pt>
                <c:pt idx="23">
                  <c:v>1063</c:v>
                </c:pt>
                <c:pt idx="24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przemyski</c:v>
                </c:pt>
                <c:pt idx="1">
                  <c:v>bieszczadzki</c:v>
                </c:pt>
                <c:pt idx="2">
                  <c:v>leski</c:v>
                </c:pt>
                <c:pt idx="3">
                  <c:v>brzozowski</c:v>
                </c:pt>
                <c:pt idx="4">
                  <c:v>tarnobrzeski </c:v>
                </c:pt>
                <c:pt idx="5">
                  <c:v>łańcucki</c:v>
                </c:pt>
                <c:pt idx="6">
                  <c:v>krośnieński</c:v>
                </c:pt>
                <c:pt idx="7">
                  <c:v>niżański</c:v>
                </c:pt>
                <c:pt idx="8">
                  <c:v>sanocki</c:v>
                </c:pt>
                <c:pt idx="9">
                  <c:v>Krosno</c:v>
                </c:pt>
                <c:pt idx="10">
                  <c:v>Tarnobrzeg</c:v>
                </c:pt>
                <c:pt idx="11">
                  <c:v>leżajski</c:v>
                </c:pt>
                <c:pt idx="12">
                  <c:v>stalowowolski</c:v>
                </c:pt>
                <c:pt idx="13">
                  <c:v>lubaczowski</c:v>
                </c:pt>
                <c:pt idx="14">
                  <c:v>kolbuszowski</c:v>
                </c:pt>
                <c:pt idx="15">
                  <c:v>Przemyśl</c:v>
                </c:pt>
                <c:pt idx="16">
                  <c:v>strzyżowski</c:v>
                </c:pt>
                <c:pt idx="17">
                  <c:v>ropczycko-sędziszowski</c:v>
                </c:pt>
                <c:pt idx="18">
                  <c:v>jarosławski</c:v>
                </c:pt>
                <c:pt idx="19">
                  <c:v>rzeszowski</c:v>
                </c:pt>
                <c:pt idx="20">
                  <c:v>jasielski</c:v>
                </c:pt>
                <c:pt idx="21">
                  <c:v>przeworski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18</c:v>
                </c:pt>
                <c:pt idx="1">
                  <c:v>19</c:v>
                </c:pt>
                <c:pt idx="2">
                  <c:v>36</c:v>
                </c:pt>
                <c:pt idx="3">
                  <c:v>44</c:v>
                </c:pt>
                <c:pt idx="4">
                  <c:v>46</c:v>
                </c:pt>
                <c:pt idx="5">
                  <c:v>51</c:v>
                </c:pt>
                <c:pt idx="6">
                  <c:v>54</c:v>
                </c:pt>
                <c:pt idx="7">
                  <c:v>59</c:v>
                </c:pt>
                <c:pt idx="8">
                  <c:v>60</c:v>
                </c:pt>
                <c:pt idx="9">
                  <c:v>60</c:v>
                </c:pt>
                <c:pt idx="10">
                  <c:v>66</c:v>
                </c:pt>
                <c:pt idx="11">
                  <c:v>72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89</c:v>
                </c:pt>
                <c:pt idx="16">
                  <c:v>108</c:v>
                </c:pt>
                <c:pt idx="17">
                  <c:v>115</c:v>
                </c:pt>
                <c:pt idx="18">
                  <c:v>197</c:v>
                </c:pt>
                <c:pt idx="19">
                  <c:v>198</c:v>
                </c:pt>
                <c:pt idx="20">
                  <c:v>207</c:v>
                </c:pt>
                <c:pt idx="21">
                  <c:v>211</c:v>
                </c:pt>
                <c:pt idx="22">
                  <c:v>235</c:v>
                </c:pt>
                <c:pt idx="23">
                  <c:v>274</c:v>
                </c:pt>
                <c:pt idx="24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łańcucki</c:v>
                </c:pt>
                <c:pt idx="1">
                  <c:v>bieszczadzki</c:v>
                </c:pt>
                <c:pt idx="2">
                  <c:v>leski</c:v>
                </c:pt>
                <c:pt idx="3">
                  <c:v>przemyski</c:v>
                </c:pt>
                <c:pt idx="4">
                  <c:v>Tarnobrzeg</c:v>
                </c:pt>
                <c:pt idx="5">
                  <c:v>leżajski</c:v>
                </c:pt>
                <c:pt idx="6">
                  <c:v>Krosno</c:v>
                </c:pt>
                <c:pt idx="7">
                  <c:v>tarnobrzeski </c:v>
                </c:pt>
                <c:pt idx="8">
                  <c:v>krośnieński</c:v>
                </c:pt>
                <c:pt idx="9">
                  <c:v>brzozowski</c:v>
                </c:pt>
                <c:pt idx="10">
                  <c:v>dębicki</c:v>
                </c:pt>
                <c:pt idx="11">
                  <c:v>ropczycko-sędziszowski</c:v>
                </c:pt>
                <c:pt idx="12">
                  <c:v>stalowowolski</c:v>
                </c:pt>
                <c:pt idx="13">
                  <c:v>niżański</c:v>
                </c:pt>
                <c:pt idx="14">
                  <c:v>kolbuszowski</c:v>
                </c:pt>
                <c:pt idx="15">
                  <c:v>Przemyśl</c:v>
                </c:pt>
                <c:pt idx="16">
                  <c:v>lubaczowski</c:v>
                </c:pt>
                <c:pt idx="17">
                  <c:v>sanocki</c:v>
                </c:pt>
                <c:pt idx="18">
                  <c:v>przeworski</c:v>
                </c:pt>
                <c:pt idx="19">
                  <c:v>rzeszowski</c:v>
                </c:pt>
                <c:pt idx="20">
                  <c:v>jasielski</c:v>
                </c:pt>
                <c:pt idx="21">
                  <c:v>mielecki</c:v>
                </c:pt>
                <c:pt idx="22">
                  <c:v>strzyżowski</c:v>
                </c:pt>
                <c:pt idx="23">
                  <c:v>Rzeszów</c:v>
                </c:pt>
                <c:pt idx="24">
                  <c:v>jarosławski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12</c:v>
                </c:pt>
                <c:pt idx="4">
                  <c:v>17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33</c:v>
                </c:pt>
                <c:pt idx="11">
                  <c:v>33</c:v>
                </c:pt>
                <c:pt idx="12">
                  <c:v>35</c:v>
                </c:pt>
                <c:pt idx="13">
                  <c:v>37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53</c:v>
                </c:pt>
                <c:pt idx="19">
                  <c:v>56</c:v>
                </c:pt>
                <c:pt idx="20">
                  <c:v>58</c:v>
                </c:pt>
                <c:pt idx="21">
                  <c:v>65</c:v>
                </c:pt>
                <c:pt idx="22">
                  <c:v>69</c:v>
                </c:pt>
                <c:pt idx="23">
                  <c:v>101</c:v>
                </c:pt>
                <c:pt idx="2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47626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77</v>
      </c>
      <c r="D2" s="38" t="s">
        <v>76</v>
      </c>
      <c r="E2" s="37" t="s">
        <v>33</v>
      </c>
      <c r="F2" s="38" t="s">
        <v>78</v>
      </c>
      <c r="G2" s="37" t="s">
        <v>26</v>
      </c>
    </row>
    <row r="3" spans="2:7" x14ac:dyDescent="0.2">
      <c r="B3" s="5" t="s">
        <v>0</v>
      </c>
      <c r="C3" s="6">
        <v>1000</v>
      </c>
      <c r="D3" s="42">
        <v>1031</v>
      </c>
      <c r="E3" s="6">
        <f>SUM(C3)-D3</f>
        <v>-31</v>
      </c>
      <c r="F3" s="42">
        <v>997</v>
      </c>
      <c r="G3" s="6">
        <f>SUM(C3)-F3</f>
        <v>3</v>
      </c>
    </row>
    <row r="4" spans="2:7" x14ac:dyDescent="0.2">
      <c r="B4" s="5" t="s">
        <v>1</v>
      </c>
      <c r="C4" s="6">
        <v>3484</v>
      </c>
      <c r="D4" s="42">
        <v>3405</v>
      </c>
      <c r="E4" s="6">
        <f t="shared" ref="E4:E27" si="0">SUM(C4)-D4</f>
        <v>79</v>
      </c>
      <c r="F4" s="42">
        <v>3608</v>
      </c>
      <c r="G4" s="6">
        <f t="shared" ref="G4:G27" si="1">SUM(C4)-F4</f>
        <v>-124</v>
      </c>
    </row>
    <row r="5" spans="2:7" x14ac:dyDescent="0.2">
      <c r="B5" s="5" t="s">
        <v>2</v>
      </c>
      <c r="C5" s="6">
        <v>2221</v>
      </c>
      <c r="D5" s="42">
        <v>2260</v>
      </c>
      <c r="E5" s="6">
        <f t="shared" si="0"/>
        <v>-39</v>
      </c>
      <c r="F5" s="42">
        <v>2386</v>
      </c>
      <c r="G5" s="6">
        <f t="shared" si="1"/>
        <v>-165</v>
      </c>
    </row>
    <row r="6" spans="2:7" x14ac:dyDescent="0.2">
      <c r="B6" s="5" t="s">
        <v>3</v>
      </c>
      <c r="C6" s="6">
        <v>4290</v>
      </c>
      <c r="D6" s="42">
        <v>4239</v>
      </c>
      <c r="E6" s="6">
        <f t="shared" si="0"/>
        <v>51</v>
      </c>
      <c r="F6" s="42">
        <v>4222</v>
      </c>
      <c r="G6" s="6">
        <f t="shared" si="1"/>
        <v>68</v>
      </c>
    </row>
    <row r="7" spans="2:7" x14ac:dyDescent="0.2">
      <c r="B7" s="5" t="s">
        <v>4</v>
      </c>
      <c r="C7" s="6">
        <v>4706</v>
      </c>
      <c r="D7" s="42">
        <v>4693</v>
      </c>
      <c r="E7" s="6">
        <f t="shared" si="0"/>
        <v>13</v>
      </c>
      <c r="F7" s="42">
        <v>4709</v>
      </c>
      <c r="G7" s="6">
        <f t="shared" si="1"/>
        <v>-3</v>
      </c>
    </row>
    <row r="8" spans="2:7" x14ac:dyDescent="0.2">
      <c r="B8" s="5" t="s">
        <v>5</v>
      </c>
      <c r="C8" s="6">
        <v>1505</v>
      </c>
      <c r="D8" s="42">
        <v>1509</v>
      </c>
      <c r="E8" s="6">
        <f t="shared" si="0"/>
        <v>-4</v>
      </c>
      <c r="F8" s="42">
        <v>1528</v>
      </c>
      <c r="G8" s="6">
        <f t="shared" si="1"/>
        <v>-23</v>
      </c>
    </row>
    <row r="9" spans="2:7" x14ac:dyDescent="0.2">
      <c r="B9" s="9" t="s">
        <v>6</v>
      </c>
      <c r="C9" s="6">
        <v>2158</v>
      </c>
      <c r="D9" s="42">
        <v>2136</v>
      </c>
      <c r="E9" s="6">
        <f t="shared" si="0"/>
        <v>22</v>
      </c>
      <c r="F9" s="42">
        <v>2095</v>
      </c>
      <c r="G9" s="6">
        <f t="shared" si="1"/>
        <v>63</v>
      </c>
    </row>
    <row r="10" spans="2:7" x14ac:dyDescent="0.2">
      <c r="B10" s="5" t="s">
        <v>7</v>
      </c>
      <c r="C10" s="6">
        <v>1492</v>
      </c>
      <c r="D10" s="42">
        <v>1531</v>
      </c>
      <c r="E10" s="6">
        <f t="shared" si="0"/>
        <v>-39</v>
      </c>
      <c r="F10" s="42">
        <v>1510</v>
      </c>
      <c r="G10" s="6">
        <f t="shared" si="1"/>
        <v>-18</v>
      </c>
    </row>
    <row r="11" spans="2:7" x14ac:dyDescent="0.2">
      <c r="B11" s="5" t="s">
        <v>8</v>
      </c>
      <c r="C11" s="6">
        <v>2812</v>
      </c>
      <c r="D11" s="42">
        <v>2809</v>
      </c>
      <c r="E11" s="6">
        <f t="shared" si="0"/>
        <v>3</v>
      </c>
      <c r="F11" s="42">
        <v>2933</v>
      </c>
      <c r="G11" s="6">
        <f t="shared" si="1"/>
        <v>-121</v>
      </c>
    </row>
    <row r="12" spans="2:7" x14ac:dyDescent="0.2">
      <c r="B12" s="5" t="s">
        <v>9</v>
      </c>
      <c r="C12" s="6">
        <v>1594</v>
      </c>
      <c r="D12" s="42">
        <v>1586</v>
      </c>
      <c r="E12" s="6">
        <f t="shared" si="0"/>
        <v>8</v>
      </c>
      <c r="F12" s="42">
        <v>1616</v>
      </c>
      <c r="G12" s="6">
        <f t="shared" si="1"/>
        <v>-22</v>
      </c>
    </row>
    <row r="13" spans="2:7" x14ac:dyDescent="0.2">
      <c r="B13" s="5" t="s">
        <v>10</v>
      </c>
      <c r="C13" s="6">
        <v>2387</v>
      </c>
      <c r="D13" s="42">
        <v>2401</v>
      </c>
      <c r="E13" s="6">
        <f t="shared" si="0"/>
        <v>-14</v>
      </c>
      <c r="F13" s="42">
        <v>2519</v>
      </c>
      <c r="G13" s="6">
        <f t="shared" si="1"/>
        <v>-132</v>
      </c>
    </row>
    <row r="14" spans="2:7" x14ac:dyDescent="0.2">
      <c r="B14" s="5" t="s">
        <v>11</v>
      </c>
      <c r="C14" s="6">
        <v>2993</v>
      </c>
      <c r="D14" s="42">
        <v>2872</v>
      </c>
      <c r="E14" s="6">
        <f t="shared" si="0"/>
        <v>121</v>
      </c>
      <c r="F14" s="42">
        <v>2837</v>
      </c>
      <c r="G14" s="6">
        <f t="shared" si="1"/>
        <v>156</v>
      </c>
    </row>
    <row r="15" spans="2:7" x14ac:dyDescent="0.2">
      <c r="B15" s="5" t="s">
        <v>12</v>
      </c>
      <c r="C15" s="6">
        <v>2878</v>
      </c>
      <c r="D15" s="42">
        <v>2794</v>
      </c>
      <c r="E15" s="6">
        <f t="shared" si="0"/>
        <v>84</v>
      </c>
      <c r="F15" s="42">
        <v>3032</v>
      </c>
      <c r="G15" s="6">
        <f t="shared" si="1"/>
        <v>-154</v>
      </c>
    </row>
    <row r="16" spans="2:7" x14ac:dyDescent="0.2">
      <c r="B16" s="5" t="s">
        <v>13</v>
      </c>
      <c r="C16" s="6">
        <v>2771</v>
      </c>
      <c r="D16" s="42">
        <v>2711</v>
      </c>
      <c r="E16" s="6">
        <f t="shared" si="0"/>
        <v>60</v>
      </c>
      <c r="F16" s="42">
        <v>2740</v>
      </c>
      <c r="G16" s="6">
        <f t="shared" si="1"/>
        <v>31</v>
      </c>
    </row>
    <row r="17" spans="2:7" x14ac:dyDescent="0.2">
      <c r="B17" s="5" t="s">
        <v>14</v>
      </c>
      <c r="C17" s="6">
        <v>3169</v>
      </c>
      <c r="D17" s="42">
        <v>3161</v>
      </c>
      <c r="E17" s="6">
        <f t="shared" si="0"/>
        <v>8</v>
      </c>
      <c r="F17" s="42">
        <v>3268</v>
      </c>
      <c r="G17" s="6">
        <f t="shared" si="1"/>
        <v>-99</v>
      </c>
    </row>
    <row r="18" spans="2:7" x14ac:dyDescent="0.2">
      <c r="B18" s="5" t="s">
        <v>15</v>
      </c>
      <c r="C18" s="6">
        <v>2570</v>
      </c>
      <c r="D18" s="42">
        <v>2556</v>
      </c>
      <c r="E18" s="6">
        <f t="shared" si="0"/>
        <v>14</v>
      </c>
      <c r="F18" s="42">
        <v>2569</v>
      </c>
      <c r="G18" s="6">
        <f t="shared" si="1"/>
        <v>1</v>
      </c>
    </row>
    <row r="19" spans="2:7" x14ac:dyDescent="0.2">
      <c r="B19" s="5" t="s">
        <v>16</v>
      </c>
      <c r="C19" s="6">
        <v>4458</v>
      </c>
      <c r="D19" s="42">
        <v>4423</v>
      </c>
      <c r="E19" s="6">
        <f t="shared" si="0"/>
        <v>35</v>
      </c>
      <c r="F19" s="42">
        <v>4618</v>
      </c>
      <c r="G19" s="6">
        <f t="shared" si="1"/>
        <v>-160</v>
      </c>
    </row>
    <row r="20" spans="2:7" x14ac:dyDescent="0.2">
      <c r="B20" s="5" t="s">
        <v>17</v>
      </c>
      <c r="C20" s="6">
        <v>2721</v>
      </c>
      <c r="D20" s="42">
        <v>2659</v>
      </c>
      <c r="E20" s="6">
        <f t="shared" si="0"/>
        <v>62</v>
      </c>
      <c r="F20" s="42">
        <v>2657</v>
      </c>
      <c r="G20" s="6">
        <f t="shared" si="1"/>
        <v>64</v>
      </c>
    </row>
    <row r="21" spans="2:7" x14ac:dyDescent="0.2">
      <c r="B21" s="5" t="s">
        <v>18</v>
      </c>
      <c r="C21" s="6">
        <v>1960</v>
      </c>
      <c r="D21" s="42">
        <v>1860</v>
      </c>
      <c r="E21" s="6">
        <f t="shared" si="0"/>
        <v>100</v>
      </c>
      <c r="F21" s="42">
        <v>1891</v>
      </c>
      <c r="G21" s="6">
        <f t="shared" si="1"/>
        <v>69</v>
      </c>
    </row>
    <row r="22" spans="2:7" x14ac:dyDescent="0.2">
      <c r="B22" s="5" t="s">
        <v>19</v>
      </c>
      <c r="C22" s="6">
        <v>3042</v>
      </c>
      <c r="D22" s="42">
        <v>3008</v>
      </c>
      <c r="E22" s="6">
        <f t="shared" si="0"/>
        <v>34</v>
      </c>
      <c r="F22" s="42">
        <v>3007</v>
      </c>
      <c r="G22" s="6">
        <f t="shared" si="1"/>
        <v>35</v>
      </c>
    </row>
    <row r="23" spans="2:7" x14ac:dyDescent="0.2">
      <c r="B23" s="5" t="s">
        <v>20</v>
      </c>
      <c r="C23" s="6">
        <v>1252</v>
      </c>
      <c r="D23" s="42">
        <v>1196</v>
      </c>
      <c r="E23" s="6">
        <f t="shared" si="0"/>
        <v>56</v>
      </c>
      <c r="F23" s="42">
        <v>1233</v>
      </c>
      <c r="G23" s="6">
        <f t="shared" si="1"/>
        <v>19</v>
      </c>
    </row>
    <row r="24" spans="2:7" x14ac:dyDescent="0.2">
      <c r="B24" s="5" t="s">
        <v>21</v>
      </c>
      <c r="C24" s="6">
        <v>784</v>
      </c>
      <c r="D24" s="42">
        <v>767</v>
      </c>
      <c r="E24" s="6">
        <f t="shared" si="0"/>
        <v>17</v>
      </c>
      <c r="F24" s="42">
        <v>716</v>
      </c>
      <c r="G24" s="6">
        <f t="shared" si="1"/>
        <v>68</v>
      </c>
    </row>
    <row r="25" spans="2:7" x14ac:dyDescent="0.2">
      <c r="B25" s="5" t="s">
        <v>22</v>
      </c>
      <c r="C25" s="6">
        <v>2249</v>
      </c>
      <c r="D25" s="42">
        <v>2240</v>
      </c>
      <c r="E25" s="6">
        <f t="shared" si="0"/>
        <v>9</v>
      </c>
      <c r="F25" s="42">
        <v>2374</v>
      </c>
      <c r="G25" s="6">
        <f t="shared" si="1"/>
        <v>-125</v>
      </c>
    </row>
    <row r="26" spans="2:7" x14ac:dyDescent="0.2">
      <c r="B26" s="5" t="s">
        <v>23</v>
      </c>
      <c r="C26" s="6">
        <v>5032</v>
      </c>
      <c r="D26" s="42">
        <v>4933</v>
      </c>
      <c r="E26" s="6">
        <f t="shared" si="0"/>
        <v>99</v>
      </c>
      <c r="F26" s="42">
        <v>5304</v>
      </c>
      <c r="G26" s="6">
        <f t="shared" si="1"/>
        <v>-272</v>
      </c>
    </row>
    <row r="27" spans="2:7" x14ac:dyDescent="0.2">
      <c r="B27" s="5" t="s">
        <v>24</v>
      </c>
      <c r="C27" s="6">
        <v>1058</v>
      </c>
      <c r="D27" s="42">
        <v>1034</v>
      </c>
      <c r="E27" s="6">
        <f t="shared" si="0"/>
        <v>24</v>
      </c>
      <c r="F27" s="42">
        <v>1075</v>
      </c>
      <c r="G27" s="6">
        <f t="shared" si="1"/>
        <v>-17</v>
      </c>
    </row>
    <row r="28" spans="2:7" ht="15" x14ac:dyDescent="0.25">
      <c r="B28" s="39" t="s">
        <v>25</v>
      </c>
      <c r="C28" s="40">
        <f>SUM(C3:C27)</f>
        <v>64586</v>
      </c>
      <c r="D28" s="41">
        <f>SUM(D3:D27)</f>
        <v>63814</v>
      </c>
      <c r="E28" s="40">
        <f>SUM(C28)-D28</f>
        <v>772</v>
      </c>
      <c r="F28" s="41">
        <f>SUM(F3:F27)</f>
        <v>65444</v>
      </c>
      <c r="G28" s="40">
        <f>SUM(C28)-F28</f>
        <v>-858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31-07-'24 r.</v>
      </c>
      <c r="E3" s="36" t="str">
        <f>T('5do 30 r.ż.'!D2)</f>
        <v>liczba bezrobotnych do 30 r. ż. stan na 30-06-'24 r.</v>
      </c>
      <c r="F3" s="36" t="str">
        <f>T('5do 30 r.ż.'!E2)</f>
        <v>wzrost/spadek do poprzedniego  miesiąca</v>
      </c>
      <c r="G3" s="36" t="str">
        <f>T('5do 30 r.ż.'!F2)</f>
        <v>liczba bezrobotnych do 30 r. ż. stan na 31-07-'23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160</v>
      </c>
      <c r="E4" s="42">
        <f>INDEX('5do 30 r.ż.'!B3:G28,MATCH(1,B4:B29,0),3)</f>
        <v>151</v>
      </c>
      <c r="F4" s="6">
        <f>INDEX('5do 30 r.ż.'!B3:G28,MATCH(1,B4:B29,0),4)</f>
        <v>9</v>
      </c>
      <c r="G4" s="42">
        <f>INDEX('5do 30 r.ż.'!B3:G28,MATCH(1,B4:B29,0),5)</f>
        <v>119</v>
      </c>
      <c r="H4" s="6">
        <f>INDEX('5do 30 r.ż.'!B3:G28,MATCH(1,B4:B29,0),6)</f>
        <v>41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199</v>
      </c>
      <c r="E5" s="42">
        <f>INDEX('5do 30 r.ż.'!B3:G28,MATCH(2,B4:B29,0),3)</f>
        <v>199</v>
      </c>
      <c r="F5" s="6">
        <f>INDEX('5do 30 r.ż.'!B3:G28,MATCH(2,B4:B29,0),4)</f>
        <v>0</v>
      </c>
      <c r="G5" s="42">
        <f>INDEX('5do 30 r.ż.'!B3:G28,MATCH(2,B4:B29,0),5)</f>
        <v>218</v>
      </c>
      <c r="H5" s="6">
        <f>INDEX('5do 30 r.ż.'!B3:G28,MATCH(2,B4:B29,0),6)</f>
        <v>-19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254</v>
      </c>
      <c r="E6" s="42">
        <f>INDEX('5do 30 r.ż.'!B3:G28,MATCH(3,B4:B29,0),3)</f>
        <v>267</v>
      </c>
      <c r="F6" s="6">
        <f>INDEX('5do 30 r.ż.'!B3:G28,MATCH(3,B4:B29,0),4)</f>
        <v>-13</v>
      </c>
      <c r="G6" s="42">
        <f>INDEX('5do 30 r.ż.'!B3:G28,MATCH(3,B4:B29,0),5)</f>
        <v>240</v>
      </c>
      <c r="H6" s="6">
        <f>INDEX('5do 30 r.ż.'!B3:G28,MATCH(3,B4:B29,0),6)</f>
        <v>14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322</v>
      </c>
      <c r="E7" s="42">
        <f>INDEX('5do 30 r.ż.'!B3:G28,MATCH(4,B4:B29,0),3)</f>
        <v>299</v>
      </c>
      <c r="F7" s="6">
        <f>INDEX('5do 30 r.ż.'!B3:G28,MATCH(4,B4:B29,0),4)</f>
        <v>23</v>
      </c>
      <c r="G7" s="42">
        <f>INDEX('5do 30 r.ż.'!B3:G28,MATCH(4,B4:B29,0),5)</f>
        <v>297</v>
      </c>
      <c r="H7" s="6">
        <f>INDEX('5do 30 r.ż.'!B3:G28,MATCH(4,B4:B29,0),6)</f>
        <v>25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360</v>
      </c>
      <c r="E8" s="42">
        <f>INDEX('5do 30 r.ż.'!B3:G28,MATCH(5,B4:B29,0),3)</f>
        <v>378</v>
      </c>
      <c r="F8" s="6">
        <f>INDEX('5do 30 r.ż.'!B3:G28,MATCH(5,B4:B29,0),4)</f>
        <v>-18</v>
      </c>
      <c r="G8" s="42">
        <f>INDEX('5do 30 r.ż.'!B3:G28,MATCH(5,B4:B29,0),5)</f>
        <v>378</v>
      </c>
      <c r="H8" s="6">
        <f>INDEX('5do 30 r.ż.'!B3:G28,MATCH(5,B4:B29,0),6)</f>
        <v>-18</v>
      </c>
    </row>
    <row r="9" spans="2:8" x14ac:dyDescent="0.2">
      <c r="B9" s="6">
        <f>RANK('5do 30 r.ż.'!C8,'5do 30 r.ż.'!$C$3:'5do 30 r.ż.'!$C$28,1)+COUNTIF('5do 30 r.ż.'!$C$3:'5do 30 r.ż.'!C8,'5do 30 r.ż.'!C8)-1</f>
        <v>8</v>
      </c>
      <c r="C9" s="5" t="str">
        <f>INDEX('5do 30 r.ż.'!B3:G28,MATCH(6,B4:B29,0),1)</f>
        <v>Przemyśl</v>
      </c>
      <c r="D9" s="6">
        <f>INDEX('5do 30 r.ż.'!B3:G28,MATCH(6,B4:B29,0),2)</f>
        <v>404</v>
      </c>
      <c r="E9" s="42">
        <f>INDEX('5do 30 r.ż.'!B3:G28,MATCH(6,B4:B29,0),3)</f>
        <v>405</v>
      </c>
      <c r="F9" s="6">
        <f>INDEX('5do 30 r.ż.'!B3:G28,MATCH(6,B4:B29,0),4)</f>
        <v>-1</v>
      </c>
      <c r="G9" s="42">
        <f>INDEX('5do 30 r.ż.'!B3:G28,MATCH(6,B4:B29,0),5)</f>
        <v>419</v>
      </c>
      <c r="H9" s="6">
        <f>INDEX('5do 30 r.ż.'!B3:G28,MATCH(6,B4:B29,0),6)</f>
        <v>-15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lubaczowski</v>
      </c>
      <c r="D10" s="6">
        <f>INDEX('5do 30 r.ż.'!B3:G28,MATCH(7,B4:B29,0),2)</f>
        <v>407</v>
      </c>
      <c r="E10" s="42">
        <f>INDEX('5do 30 r.ż.'!B3:G28,MATCH(7,B4:B29,0),3)</f>
        <v>418</v>
      </c>
      <c r="F10" s="6">
        <f>INDEX('5do 30 r.ż.'!B3:G28,MATCH(7,B4:B29,0),4)</f>
        <v>-11</v>
      </c>
      <c r="G10" s="42">
        <f>INDEX('5do 30 r.ż.'!B3:G28,MATCH(7,B4:B29,0),5)</f>
        <v>439</v>
      </c>
      <c r="H10" s="6">
        <f>INDEX('5do 30 r.ż.'!B3:G28,MATCH(7,B4:B29,0),6)</f>
        <v>-32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kolbuszowski</v>
      </c>
      <c r="D11" s="6">
        <f>INDEX('5do 30 r.ż.'!B3:G28,MATCH(8,B4:B29,0),2)</f>
        <v>409</v>
      </c>
      <c r="E11" s="42">
        <f>INDEX('5do 30 r.ż.'!B3:G28,MATCH(8,B4:B29,0),3)</f>
        <v>411</v>
      </c>
      <c r="F11" s="6">
        <f>INDEX('5do 30 r.ż.'!B3:G28,MATCH(8,B4:B29,0),4)</f>
        <v>-2</v>
      </c>
      <c r="G11" s="42">
        <f>INDEX('5do 30 r.ż.'!B3:G28,MATCH(8,B4:B29,0),5)</f>
        <v>440</v>
      </c>
      <c r="H11" s="6">
        <f>INDEX('5do 30 r.ż.'!B3:G28,MATCH(8,B4:B29,0),6)</f>
        <v>-31</v>
      </c>
    </row>
    <row r="12" spans="2:8" x14ac:dyDescent="0.2">
      <c r="B12" s="6">
        <f>RANK('5do 30 r.ż.'!C11,'5do 30 r.ż.'!$C$3:'5do 30 r.ż.'!$C$28,1)+COUNTIF('5do 30 r.ż.'!$C$3:'5do 30 r.ż.'!C11,'5do 30 r.ż.'!C11)-1</f>
        <v>15</v>
      </c>
      <c r="C12" s="5" t="str">
        <f>INDEX('5do 30 r.ż.'!B3:G28,MATCH(9,B4:B29,0),1)</f>
        <v>stalowowolski</v>
      </c>
      <c r="D12" s="6">
        <f>INDEX('5do 30 r.ż.'!B3:G28,MATCH(9,B4:B29,0),2)</f>
        <v>521</v>
      </c>
      <c r="E12" s="42">
        <f>INDEX('5do 30 r.ż.'!B3:G28,MATCH(9,B4:B29,0),3)</f>
        <v>497</v>
      </c>
      <c r="F12" s="6">
        <f>INDEX('5do 30 r.ż.'!B3:G28,MATCH(9,B4:B29,0),4)</f>
        <v>24</v>
      </c>
      <c r="G12" s="42">
        <f>INDEX('5do 30 r.ż.'!B3:G28,MATCH(9,B4:B29,0),5)</f>
        <v>473</v>
      </c>
      <c r="H12" s="6">
        <f>INDEX('5do 30 r.ż.'!B3:G28,MATCH(9,B4:B29,0),6)</f>
        <v>48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krośnieński</v>
      </c>
      <c r="D13" s="6">
        <f>INDEX('5do 30 r.ż.'!B3:G28,MATCH(10,B4:B29,0),2)</f>
        <v>533</v>
      </c>
      <c r="E13" s="42">
        <f>INDEX('5do 30 r.ż.'!B3:G28,MATCH(10,B4:B29,0),3)</f>
        <v>527</v>
      </c>
      <c r="F13" s="6">
        <f>INDEX('5do 30 r.ż.'!B3:G28,MATCH(10,B4:B29,0),4)</f>
        <v>6</v>
      </c>
      <c r="G13" s="42">
        <f>INDEX('5do 30 r.ż.'!B3:G28,MATCH(10,B4:B29,0),5)</f>
        <v>534</v>
      </c>
      <c r="H13" s="6">
        <f>INDEX('5do 30 r.ż.'!B3:G28,MATCH(10,B4:B29,0),6)</f>
        <v>-1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659</v>
      </c>
      <c r="E14" s="42">
        <f>INDEX('5do 30 r.ż.'!B3:G28,MATCH(11,B4:B29,0),3)</f>
        <v>652</v>
      </c>
      <c r="F14" s="6">
        <f>INDEX('5do 30 r.ż.'!B3:G28,MATCH(11,B4:B29,0),4)</f>
        <v>7</v>
      </c>
      <c r="G14" s="42">
        <f>INDEX('5do 30 r.ż.'!B3:G28,MATCH(11,B4:B29,0),5)</f>
        <v>659</v>
      </c>
      <c r="H14" s="6">
        <f>INDEX('5do 30 r.ż.'!B3:G28,MATCH(11,B4:B29,0),6)</f>
        <v>0</v>
      </c>
    </row>
    <row r="15" spans="2:8" x14ac:dyDescent="0.2">
      <c r="B15" s="6">
        <f>RANK('5do 30 r.ż.'!C14,'5do 30 r.ż.'!$C$3:'5do 30 r.ż.'!$C$28,1)+COUNTIF('5do 30 r.ż.'!$C$3:'5do 30 r.ż.'!C14,'5do 30 r.ż.'!C14)-1</f>
        <v>17</v>
      </c>
      <c r="C15" s="5" t="str">
        <f>INDEX('5do 30 r.ż.'!B3:G28,MATCH(12,B4:B29,0),1)</f>
        <v>łańcucki</v>
      </c>
      <c r="D15" s="6">
        <f>INDEX('5do 30 r.ż.'!B3:G28,MATCH(12,B4:B29,0),2)</f>
        <v>708</v>
      </c>
      <c r="E15" s="42">
        <f>INDEX('5do 30 r.ż.'!B3:G28,MATCH(12,B4:B29,0),3)</f>
        <v>718</v>
      </c>
      <c r="F15" s="6">
        <f>INDEX('5do 30 r.ż.'!B3:G28,MATCH(12,B4:B29,0),4)</f>
        <v>-10</v>
      </c>
      <c r="G15" s="42">
        <f>INDEX('5do 30 r.ż.'!B3:G28,MATCH(12,B4:B29,0),5)</f>
        <v>699</v>
      </c>
      <c r="H15" s="6">
        <f>INDEX('5do 30 r.ż.'!B3:G28,MATCH(12,B4:B29,0),6)</f>
        <v>9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734</v>
      </c>
      <c r="E16" s="42">
        <f>INDEX('5do 30 r.ż.'!B3:G28,MATCH(13,B4:B29,0),3)</f>
        <v>709</v>
      </c>
      <c r="F16" s="6">
        <f>INDEX('5do 30 r.ż.'!B3:G28,MATCH(13,B4:B29,0),4)</f>
        <v>25</v>
      </c>
      <c r="G16" s="42">
        <f>INDEX('5do 30 r.ż.'!B3:G28,MATCH(13,B4:B29,0),5)</f>
        <v>784</v>
      </c>
      <c r="H16" s="6">
        <f>INDEX('5do 30 r.ż.'!B3:G28,MATCH(13,B4:B29,0),6)</f>
        <v>-50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sanocki</v>
      </c>
      <c r="D17" s="6">
        <f>INDEX('5do 30 r.ż.'!B3:G28,MATCH(14,B4:B29,0),2)</f>
        <v>734</v>
      </c>
      <c r="E17" s="42">
        <f>INDEX('5do 30 r.ż.'!B3:G28,MATCH(14,B4:B29,0),3)</f>
        <v>709</v>
      </c>
      <c r="F17" s="6">
        <f>INDEX('5do 30 r.ż.'!B3:G28,MATCH(14,B4:B29,0),4)</f>
        <v>25</v>
      </c>
      <c r="G17" s="42">
        <f>INDEX('5do 30 r.ż.'!B3:G28,MATCH(14,B4:B29,0),5)</f>
        <v>679</v>
      </c>
      <c r="H17" s="6">
        <f>INDEX('5do 30 r.ż.'!B3:G28,MATCH(14,B4:B29,0),6)</f>
        <v>55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leżajski</v>
      </c>
      <c r="D18" s="6">
        <f>INDEX('5do 30 r.ż.'!B3:G28,MATCH(15,B4:B29,0),2)</f>
        <v>747</v>
      </c>
      <c r="E18" s="42">
        <f>INDEX('5do 30 r.ż.'!B3:G28,MATCH(15,B4:B29,0),3)</f>
        <v>755</v>
      </c>
      <c r="F18" s="6">
        <f>INDEX('5do 30 r.ż.'!B3:G28,MATCH(15,B4:B29,0),4)</f>
        <v>-8</v>
      </c>
      <c r="G18" s="42">
        <f>INDEX('5do 30 r.ż.'!B3:G28,MATCH(15,B4:B29,0),5)</f>
        <v>816</v>
      </c>
      <c r="H18" s="6">
        <f>INDEX('5do 30 r.ż.'!B3:G28,MATCH(15,B4:B29,0),6)</f>
        <v>-69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przemyski</v>
      </c>
      <c r="D19" s="6">
        <f>INDEX('5do 30 r.ż.'!B3:G28,MATCH(16,B4:B29,0),2)</f>
        <v>766</v>
      </c>
      <c r="E19" s="42">
        <f>INDEX('5do 30 r.ż.'!B3:G28,MATCH(16,B4:B29,0),3)</f>
        <v>729</v>
      </c>
      <c r="F19" s="6">
        <f>INDEX('5do 30 r.ż.'!B3:G28,MATCH(16,B4:B29,0),4)</f>
        <v>37</v>
      </c>
      <c r="G19" s="42">
        <f>INDEX('5do 30 r.ż.'!B3:G28,MATCH(16,B4:B29,0),5)</f>
        <v>701</v>
      </c>
      <c r="H19" s="6">
        <f>INDEX('5do 30 r.ż.'!B3:G28,MATCH(16,B4:B29,0),6)</f>
        <v>65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mielecki</v>
      </c>
      <c r="D20" s="6">
        <f>INDEX('5do 30 r.ż.'!B3:G28,MATCH(17,B4:B29,0),2)</f>
        <v>769</v>
      </c>
      <c r="E20" s="42">
        <f>INDEX('5do 30 r.ż.'!B3:G28,MATCH(17,B4:B29,0),3)</f>
        <v>717</v>
      </c>
      <c r="F20" s="6">
        <f>INDEX('5do 30 r.ż.'!B3:G28,MATCH(17,B4:B29,0),4)</f>
        <v>52</v>
      </c>
      <c r="G20" s="42">
        <f>INDEX('5do 30 r.ż.'!B3:G28,MATCH(17,B4:B29,0),5)</f>
        <v>735</v>
      </c>
      <c r="H20" s="6">
        <f>INDEX('5do 30 r.ż.'!B3:G28,MATCH(17,B4:B29,0),6)</f>
        <v>34</v>
      </c>
    </row>
    <row r="21" spans="2:8" x14ac:dyDescent="0.2">
      <c r="B21" s="6">
        <f>RANK('5do 30 r.ż.'!C20,'5do 30 r.ż.'!$C$3:'5do 30 r.ż.'!$C$28,1)+COUNTIF('5do 30 r.ż.'!$C$3:'5do 30 r.ż.'!C20,'5do 30 r.ż.'!C20)-1</f>
        <v>14</v>
      </c>
      <c r="C21" s="5" t="str">
        <f>INDEX('5do 30 r.ż.'!B3:G28,MATCH(18,B4:B29,0),1)</f>
        <v>ropczycko-sędziszowski</v>
      </c>
      <c r="D21" s="6">
        <f>INDEX('5do 30 r.ż.'!B3:G28,MATCH(18,B4:B29,0),2)</f>
        <v>769</v>
      </c>
      <c r="E21" s="42">
        <f>INDEX('5do 30 r.ż.'!B3:G28,MATCH(18,B4:B29,0),3)</f>
        <v>762</v>
      </c>
      <c r="F21" s="6">
        <f>INDEX('5do 30 r.ż.'!B3:G28,MATCH(18,B4:B29,0),4)</f>
        <v>7</v>
      </c>
      <c r="G21" s="42">
        <f>INDEX('5do 30 r.ż.'!B3:G28,MATCH(18,B4:B29,0),5)</f>
        <v>761</v>
      </c>
      <c r="H21" s="6">
        <f>INDEX('5do 30 r.ż.'!B3:G28,MATCH(18,B4:B29,0),6)</f>
        <v>8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strzyżowski</v>
      </c>
      <c r="D22" s="6">
        <f>INDEX('5do 30 r.ż.'!B3:G28,MATCH(19,B4:B29,0),2)</f>
        <v>827</v>
      </c>
      <c r="E22" s="42">
        <f>INDEX('5do 30 r.ż.'!B3:G28,MATCH(19,B4:B29,0),3)</f>
        <v>813</v>
      </c>
      <c r="F22" s="6">
        <f>INDEX('5do 30 r.ż.'!B3:G28,MATCH(19,B4:B29,0),4)</f>
        <v>14</v>
      </c>
      <c r="G22" s="42">
        <f>INDEX('5do 30 r.ż.'!B3:G28,MATCH(19,B4:B29,0),5)</f>
        <v>765</v>
      </c>
      <c r="H22" s="6">
        <f>INDEX('5do 30 r.ż.'!B3:G28,MATCH(19,B4:B29,0),6)</f>
        <v>62</v>
      </c>
    </row>
    <row r="23" spans="2:8" x14ac:dyDescent="0.2">
      <c r="B23" s="6">
        <f>RANK('5do 30 r.ż.'!C22,'5do 30 r.ż.'!$C$3:'5do 30 r.ż.'!$C$28,1)+COUNTIF('5do 30 r.ż.'!$C$3:'5do 30 r.ż.'!C22,'5do 30 r.ż.'!C22)-1</f>
        <v>19</v>
      </c>
      <c r="C23" s="5" t="str">
        <f>INDEX('5do 30 r.ż.'!B3:G28,MATCH(20,B4:B29,0),1)</f>
        <v>przeworski</v>
      </c>
      <c r="D23" s="6">
        <f>INDEX('5do 30 r.ż.'!B3:G28,MATCH(20,B4:B29,0),2)</f>
        <v>855</v>
      </c>
      <c r="E23" s="42">
        <f>INDEX('5do 30 r.ż.'!B3:G28,MATCH(20,B4:B29,0),3)</f>
        <v>871</v>
      </c>
      <c r="F23" s="6">
        <f>INDEX('5do 30 r.ż.'!B3:G28,MATCH(20,B4:B29,0),4)</f>
        <v>-16</v>
      </c>
      <c r="G23" s="42">
        <f>INDEX('5do 30 r.ż.'!B3:G28,MATCH(20,B4:B29,0),5)</f>
        <v>903</v>
      </c>
      <c r="H23" s="6">
        <f>INDEX('5do 30 r.ż.'!B3:G28,MATCH(20,B4:B29,0),6)</f>
        <v>-48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888</v>
      </c>
      <c r="E24" s="42">
        <f>INDEX('5do 30 r.ż.'!B3:G28,MATCH(21,B4:B29,0),3)</f>
        <v>856</v>
      </c>
      <c r="F24" s="6">
        <f>INDEX('5do 30 r.ż.'!B3:G28,MATCH(21,B4:B29,0),4)</f>
        <v>32</v>
      </c>
      <c r="G24" s="42">
        <f>INDEX('5do 30 r.ż.'!B3:G28,MATCH(21,B4:B29,0),5)</f>
        <v>909</v>
      </c>
      <c r="H24" s="6">
        <f>INDEX('5do 30 r.ż.'!B3:G28,MATCH(21,B4:B29,0),6)</f>
        <v>-21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921</v>
      </c>
      <c r="E25" s="42">
        <f>INDEX('5do 30 r.ż.'!B3:G28,MATCH(22,B4:B29,0),3)</f>
        <v>896</v>
      </c>
      <c r="F25" s="6">
        <f>INDEX('5do 30 r.ż.'!B3:G28,MATCH(22,B4:B29,0),4)</f>
        <v>25</v>
      </c>
      <c r="G25" s="42">
        <f>INDEX('5do 30 r.ż.'!B3:G28,MATCH(22,B4:B29,0),5)</f>
        <v>969</v>
      </c>
      <c r="H25" s="6">
        <f>INDEX('5do 30 r.ż.'!B3:G28,MATCH(22,B4:B29,0),6)</f>
        <v>-48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jarosławski</v>
      </c>
      <c r="D26" s="6">
        <f>INDEX('5do 30 r.ż.'!B3:G28,MATCH(23,B4:B29,0),2)</f>
        <v>1079</v>
      </c>
      <c r="E26" s="42">
        <f>INDEX('5do 30 r.ż.'!B3:G28,MATCH(23,B4:B29,0),3)</f>
        <v>1044</v>
      </c>
      <c r="F26" s="6">
        <f>INDEX('5do 30 r.ż.'!B3:G28,MATCH(23,B4:B29,0),4)</f>
        <v>35</v>
      </c>
      <c r="G26" s="42">
        <f>INDEX('5do 30 r.ż.'!B3:G28,MATCH(23,B4:B29,0),5)</f>
        <v>1062</v>
      </c>
      <c r="H26" s="6">
        <f>INDEX('5do 30 r.ż.'!B3:G28,MATCH(23,B4:B29,0),6)</f>
        <v>17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jasielski</v>
      </c>
      <c r="D27" s="6">
        <f>INDEX('5do 30 r.ż.'!B3:G28,MATCH(24,B4:B29,0),2)</f>
        <v>1146</v>
      </c>
      <c r="E27" s="42">
        <f>INDEX('5do 30 r.ż.'!B3:G28,MATCH(24,B4:B29,0),3)</f>
        <v>1151</v>
      </c>
      <c r="F27" s="6">
        <f>INDEX('5do 30 r.ż.'!B3:G28,MATCH(24,B4:B29,0),4)</f>
        <v>-5</v>
      </c>
      <c r="G27" s="42">
        <f>INDEX('5do 30 r.ż.'!B3:G28,MATCH(24,B4:B29,0),5)</f>
        <v>1140</v>
      </c>
      <c r="H27" s="6">
        <f>INDEX('5do 30 r.ż.'!B3:G28,MATCH(24,B4:B29,0),6)</f>
        <v>6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1170</v>
      </c>
      <c r="E28" s="42">
        <f>INDEX('5do 30 r.ż.'!B3:G28,MATCH(25,B4:B29,0),3)</f>
        <v>1161</v>
      </c>
      <c r="F28" s="6">
        <f>INDEX('5do 30 r.ż.'!B3:G28,MATCH(25,B4:B29,0),4)</f>
        <v>9</v>
      </c>
      <c r="G28" s="42">
        <f>INDEX('5do 30 r.ż.'!B3:G28,MATCH(25,B4:B29,0),5)</f>
        <v>1189</v>
      </c>
      <c r="H28" s="6">
        <f>INDEX('5do 30 r.ż.'!B3:G28,MATCH(25,B4:B29,0),6)</f>
        <v>-19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16341</v>
      </c>
      <c r="E29" s="44">
        <f>INDEX('5do 30 r.ż.'!B3:G28,MATCH(26,B4:B29,0),3)</f>
        <v>16095</v>
      </c>
      <c r="F29" s="40">
        <f>INDEX('5do 30 r.ż.'!B3:G28,MATCH(26,B4:B29,0),4)</f>
        <v>246</v>
      </c>
      <c r="G29" s="44">
        <f>INDEX('5do 30 r.ż.'!B3:G28,MATCH(26,B4:B29,0),5)</f>
        <v>16328</v>
      </c>
      <c r="H29" s="40">
        <f>INDEX('5do 30 r.ż.'!B3:G28,MATCH(26,B4:B29,0),6)</f>
        <v>13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91</v>
      </c>
      <c r="D2" s="38" t="s">
        <v>90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28">
        <v>227</v>
      </c>
      <c r="D3" s="42">
        <v>232</v>
      </c>
      <c r="E3" s="28">
        <f t="shared" ref="E3:E27" si="0">SUM(C3)-D3</f>
        <v>-5</v>
      </c>
      <c r="F3" s="42">
        <v>249</v>
      </c>
      <c r="G3" s="28">
        <f t="shared" ref="G3:G27" si="1">SUM(C3)-F3</f>
        <v>-22</v>
      </c>
      <c r="H3" s="7"/>
    </row>
    <row r="4" spans="2:8" x14ac:dyDescent="0.2">
      <c r="B4" s="5" t="s">
        <v>1</v>
      </c>
      <c r="C4" s="28">
        <v>851</v>
      </c>
      <c r="D4" s="42">
        <v>852</v>
      </c>
      <c r="E4" s="28">
        <f t="shared" si="0"/>
        <v>-1</v>
      </c>
      <c r="F4" s="42">
        <v>918</v>
      </c>
      <c r="G4" s="28">
        <f t="shared" si="1"/>
        <v>-67</v>
      </c>
      <c r="H4" s="7"/>
    </row>
    <row r="5" spans="2:8" x14ac:dyDescent="0.2">
      <c r="B5" s="5" t="s">
        <v>2</v>
      </c>
      <c r="C5" s="28">
        <v>515</v>
      </c>
      <c r="D5" s="42">
        <v>533</v>
      </c>
      <c r="E5" s="28">
        <f t="shared" si="0"/>
        <v>-18</v>
      </c>
      <c r="F5" s="42">
        <v>567</v>
      </c>
      <c r="G5" s="28">
        <f t="shared" si="1"/>
        <v>-52</v>
      </c>
      <c r="H5" s="7"/>
    </row>
    <row r="6" spans="2:8" x14ac:dyDescent="0.2">
      <c r="B6" s="5" t="s">
        <v>3</v>
      </c>
      <c r="C6" s="28">
        <v>1062</v>
      </c>
      <c r="D6" s="42">
        <v>1068</v>
      </c>
      <c r="E6" s="28">
        <f t="shared" si="0"/>
        <v>-6</v>
      </c>
      <c r="F6" s="42">
        <v>1066</v>
      </c>
      <c r="G6" s="28">
        <f t="shared" si="1"/>
        <v>-4</v>
      </c>
      <c r="H6" s="7"/>
    </row>
    <row r="7" spans="2:8" x14ac:dyDescent="0.2">
      <c r="B7" s="5" t="s">
        <v>4</v>
      </c>
      <c r="C7" s="28">
        <v>1054</v>
      </c>
      <c r="D7" s="42">
        <v>1061</v>
      </c>
      <c r="E7" s="28">
        <f t="shared" si="0"/>
        <v>-7</v>
      </c>
      <c r="F7" s="42">
        <v>1097</v>
      </c>
      <c r="G7" s="28">
        <f t="shared" si="1"/>
        <v>-43</v>
      </c>
      <c r="H7" s="7"/>
    </row>
    <row r="8" spans="2:8" x14ac:dyDescent="0.2">
      <c r="B8" s="5" t="s">
        <v>5</v>
      </c>
      <c r="C8" s="28">
        <v>404</v>
      </c>
      <c r="D8" s="42">
        <v>409</v>
      </c>
      <c r="E8" s="28">
        <f t="shared" si="0"/>
        <v>-5</v>
      </c>
      <c r="F8" s="42">
        <v>394</v>
      </c>
      <c r="G8" s="28">
        <f t="shared" si="1"/>
        <v>10</v>
      </c>
      <c r="H8" s="7"/>
    </row>
    <row r="9" spans="2:8" x14ac:dyDescent="0.2">
      <c r="B9" s="9" t="s">
        <v>6</v>
      </c>
      <c r="C9" s="28">
        <v>579</v>
      </c>
      <c r="D9" s="42">
        <v>577</v>
      </c>
      <c r="E9" s="28">
        <f t="shared" si="0"/>
        <v>2</v>
      </c>
      <c r="F9" s="42">
        <v>549</v>
      </c>
      <c r="G9" s="28">
        <f t="shared" si="1"/>
        <v>30</v>
      </c>
      <c r="H9" s="7"/>
    </row>
    <row r="10" spans="2:8" x14ac:dyDescent="0.2">
      <c r="B10" s="5" t="s">
        <v>7</v>
      </c>
      <c r="C10" s="28">
        <v>384</v>
      </c>
      <c r="D10" s="42">
        <v>395</v>
      </c>
      <c r="E10" s="28">
        <f t="shared" si="0"/>
        <v>-11</v>
      </c>
      <c r="F10" s="42">
        <v>381</v>
      </c>
      <c r="G10" s="28">
        <f t="shared" si="1"/>
        <v>3</v>
      </c>
      <c r="H10" s="7"/>
    </row>
    <row r="11" spans="2:8" x14ac:dyDescent="0.2">
      <c r="B11" s="5" t="s">
        <v>8</v>
      </c>
      <c r="C11" s="28">
        <v>651</v>
      </c>
      <c r="D11" s="42">
        <v>655</v>
      </c>
      <c r="E11" s="28">
        <f t="shared" si="0"/>
        <v>-4</v>
      </c>
      <c r="F11" s="42">
        <v>684</v>
      </c>
      <c r="G11" s="28">
        <f t="shared" si="1"/>
        <v>-33</v>
      </c>
      <c r="H11" s="7"/>
    </row>
    <row r="12" spans="2:8" x14ac:dyDescent="0.2">
      <c r="B12" s="5" t="s">
        <v>9</v>
      </c>
      <c r="C12" s="28">
        <v>456</v>
      </c>
      <c r="D12" s="42">
        <v>448</v>
      </c>
      <c r="E12" s="28">
        <f t="shared" si="0"/>
        <v>8</v>
      </c>
      <c r="F12" s="42">
        <v>462</v>
      </c>
      <c r="G12" s="28">
        <f t="shared" si="1"/>
        <v>-6</v>
      </c>
      <c r="H12" s="7"/>
    </row>
    <row r="13" spans="2:8" x14ac:dyDescent="0.2">
      <c r="B13" s="5" t="s">
        <v>10</v>
      </c>
      <c r="C13" s="28">
        <v>533</v>
      </c>
      <c r="D13" s="42">
        <v>538</v>
      </c>
      <c r="E13" s="28">
        <f t="shared" si="0"/>
        <v>-5</v>
      </c>
      <c r="F13" s="42">
        <v>579</v>
      </c>
      <c r="G13" s="28">
        <f t="shared" si="1"/>
        <v>-46</v>
      </c>
      <c r="H13" s="7"/>
    </row>
    <row r="14" spans="2:8" x14ac:dyDescent="0.2">
      <c r="B14" s="5" t="s">
        <v>11</v>
      </c>
      <c r="C14" s="28">
        <v>726</v>
      </c>
      <c r="D14" s="42">
        <v>706</v>
      </c>
      <c r="E14" s="28">
        <f t="shared" si="0"/>
        <v>20</v>
      </c>
      <c r="F14" s="42">
        <v>731</v>
      </c>
      <c r="G14" s="28">
        <f t="shared" si="1"/>
        <v>-5</v>
      </c>
      <c r="H14" s="7"/>
    </row>
    <row r="15" spans="2:8" x14ac:dyDescent="0.2">
      <c r="B15" s="5" t="s">
        <v>12</v>
      </c>
      <c r="C15" s="28">
        <v>689</v>
      </c>
      <c r="D15" s="42">
        <v>661</v>
      </c>
      <c r="E15" s="28">
        <f t="shared" si="0"/>
        <v>28</v>
      </c>
      <c r="F15" s="42">
        <v>738</v>
      </c>
      <c r="G15" s="28">
        <f t="shared" si="1"/>
        <v>-49</v>
      </c>
      <c r="H15" s="7"/>
    </row>
    <row r="16" spans="2:8" x14ac:dyDescent="0.2">
      <c r="B16" s="5" t="s">
        <v>13</v>
      </c>
      <c r="C16" s="28">
        <v>666</v>
      </c>
      <c r="D16" s="42">
        <v>674</v>
      </c>
      <c r="E16" s="28">
        <f t="shared" si="0"/>
        <v>-8</v>
      </c>
      <c r="F16" s="42">
        <v>679</v>
      </c>
      <c r="G16" s="28">
        <f t="shared" si="1"/>
        <v>-13</v>
      </c>
      <c r="H16" s="7"/>
    </row>
    <row r="17" spans="2:8" x14ac:dyDescent="0.2">
      <c r="B17" s="5" t="s">
        <v>14</v>
      </c>
      <c r="C17" s="28">
        <v>683</v>
      </c>
      <c r="D17" s="42">
        <v>690</v>
      </c>
      <c r="E17" s="28">
        <f t="shared" si="0"/>
        <v>-7</v>
      </c>
      <c r="F17" s="42">
        <v>669</v>
      </c>
      <c r="G17" s="28">
        <f t="shared" si="1"/>
        <v>14</v>
      </c>
      <c r="H17" s="7"/>
    </row>
    <row r="18" spans="2:8" x14ac:dyDescent="0.2">
      <c r="B18" s="5" t="s">
        <v>15</v>
      </c>
      <c r="C18" s="28">
        <v>575</v>
      </c>
      <c r="D18" s="42">
        <v>570</v>
      </c>
      <c r="E18" s="28">
        <f t="shared" si="0"/>
        <v>5</v>
      </c>
      <c r="F18" s="42">
        <v>572</v>
      </c>
      <c r="G18" s="28">
        <f t="shared" si="1"/>
        <v>3</v>
      </c>
      <c r="H18" s="7"/>
    </row>
    <row r="19" spans="2:8" x14ac:dyDescent="0.2">
      <c r="B19" s="5" t="s">
        <v>16</v>
      </c>
      <c r="C19" s="28">
        <v>1063</v>
      </c>
      <c r="D19" s="42">
        <v>1056</v>
      </c>
      <c r="E19" s="28">
        <f t="shared" si="0"/>
        <v>7</v>
      </c>
      <c r="F19" s="42">
        <v>1125</v>
      </c>
      <c r="G19" s="28">
        <f t="shared" si="1"/>
        <v>-62</v>
      </c>
      <c r="H19" s="7"/>
    </row>
    <row r="20" spans="2:8" x14ac:dyDescent="0.2">
      <c r="B20" s="5" t="s">
        <v>17</v>
      </c>
      <c r="C20" s="28">
        <v>618</v>
      </c>
      <c r="D20" s="42">
        <v>601</v>
      </c>
      <c r="E20" s="28">
        <f t="shared" si="0"/>
        <v>17</v>
      </c>
      <c r="F20" s="42">
        <v>621</v>
      </c>
      <c r="G20" s="28">
        <f t="shared" si="1"/>
        <v>-3</v>
      </c>
      <c r="H20" s="7"/>
    </row>
    <row r="21" spans="2:8" x14ac:dyDescent="0.2">
      <c r="B21" s="5" t="s">
        <v>18</v>
      </c>
      <c r="C21" s="28">
        <v>503</v>
      </c>
      <c r="D21" s="42">
        <v>486</v>
      </c>
      <c r="E21" s="28">
        <f t="shared" si="0"/>
        <v>17</v>
      </c>
      <c r="F21" s="42">
        <v>501</v>
      </c>
      <c r="G21" s="28">
        <f t="shared" si="1"/>
        <v>2</v>
      </c>
      <c r="H21" s="7"/>
    </row>
    <row r="22" spans="2:8" x14ac:dyDescent="0.2">
      <c r="B22" s="5" t="s">
        <v>19</v>
      </c>
      <c r="C22" s="28">
        <v>685</v>
      </c>
      <c r="D22" s="42">
        <v>684</v>
      </c>
      <c r="E22" s="28">
        <f t="shared" si="0"/>
        <v>1</v>
      </c>
      <c r="F22" s="42">
        <v>720</v>
      </c>
      <c r="G22" s="28">
        <f t="shared" si="1"/>
        <v>-35</v>
      </c>
      <c r="H22" s="7"/>
    </row>
    <row r="23" spans="2:8" x14ac:dyDescent="0.2">
      <c r="B23" s="5" t="s">
        <v>20</v>
      </c>
      <c r="C23" s="28">
        <v>347</v>
      </c>
      <c r="D23" s="42">
        <v>340</v>
      </c>
      <c r="E23" s="28">
        <f t="shared" si="0"/>
        <v>7</v>
      </c>
      <c r="F23" s="42">
        <v>351</v>
      </c>
      <c r="G23" s="28">
        <f t="shared" si="1"/>
        <v>-4</v>
      </c>
      <c r="H23" s="7"/>
    </row>
    <row r="24" spans="2:8" x14ac:dyDescent="0.2">
      <c r="B24" s="5" t="s">
        <v>21</v>
      </c>
      <c r="C24" s="28">
        <v>201</v>
      </c>
      <c r="D24" s="42">
        <v>194</v>
      </c>
      <c r="E24" s="28">
        <f t="shared" si="0"/>
        <v>7</v>
      </c>
      <c r="F24" s="42">
        <v>162</v>
      </c>
      <c r="G24" s="28">
        <f t="shared" si="1"/>
        <v>39</v>
      </c>
      <c r="H24" s="7"/>
    </row>
    <row r="25" spans="2:8" x14ac:dyDescent="0.2">
      <c r="B25" s="5" t="s">
        <v>22</v>
      </c>
      <c r="C25" s="28">
        <v>689</v>
      </c>
      <c r="D25" s="42">
        <v>680</v>
      </c>
      <c r="E25" s="28">
        <f t="shared" si="0"/>
        <v>9</v>
      </c>
      <c r="F25" s="42">
        <v>701</v>
      </c>
      <c r="G25" s="28">
        <f t="shared" si="1"/>
        <v>-12</v>
      </c>
      <c r="H25" s="7"/>
    </row>
    <row r="26" spans="2:8" x14ac:dyDescent="0.2">
      <c r="B26" s="5" t="s">
        <v>23</v>
      </c>
      <c r="C26" s="28">
        <v>1306</v>
      </c>
      <c r="D26" s="42">
        <v>1319</v>
      </c>
      <c r="E26" s="28">
        <f t="shared" si="0"/>
        <v>-13</v>
      </c>
      <c r="F26" s="42">
        <v>1399</v>
      </c>
      <c r="G26" s="28">
        <f t="shared" si="1"/>
        <v>-93</v>
      </c>
      <c r="H26" s="7"/>
    </row>
    <row r="27" spans="2:8" x14ac:dyDescent="0.2">
      <c r="B27" s="5" t="s">
        <v>24</v>
      </c>
      <c r="C27" s="28">
        <v>298</v>
      </c>
      <c r="D27" s="42">
        <v>292</v>
      </c>
      <c r="E27" s="28">
        <f t="shared" si="0"/>
        <v>6</v>
      </c>
      <c r="F27" s="42">
        <v>294</v>
      </c>
      <c r="G27" s="28">
        <f t="shared" si="1"/>
        <v>4</v>
      </c>
      <c r="H27" s="7"/>
    </row>
    <row r="28" spans="2:8" ht="15" x14ac:dyDescent="0.25">
      <c r="B28" s="39" t="s">
        <v>25</v>
      </c>
      <c r="C28" s="48">
        <f>SUM(C3:C27)</f>
        <v>15765</v>
      </c>
      <c r="D28" s="44">
        <f>SUM(D3:D27)</f>
        <v>15721</v>
      </c>
      <c r="E28" s="48">
        <f>SUM(E3:E27)</f>
        <v>44</v>
      </c>
      <c r="F28" s="44">
        <f>SUM(F3:F27)</f>
        <v>16209</v>
      </c>
      <c r="G28" s="48">
        <f>SUM(G3:G27)</f>
        <v>-444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31-07-'24 r.</v>
      </c>
      <c r="E3" s="36" t="str">
        <f>T('6pow. 50 r.ż.'!D2)</f>
        <v>liczba bezrobotnych 50+ stan na 30-06-'24 r.</v>
      </c>
      <c r="F3" s="36" t="str">
        <f>T('6pow. 50 r.ż.'!E2)</f>
        <v>wzrost/spadek do poprzedniego  miesiąca</v>
      </c>
      <c r="G3" s="36" t="str">
        <f>T('6pow. 50 r.ż.'!F2)</f>
        <v>liczba bezrobotnych 50+ stan na 31-07-'23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201</v>
      </c>
      <c r="E4" s="42">
        <f>INDEX('6pow. 50 r.ż.'!B3:G28,MATCH(1,B4:B29,0),3)</f>
        <v>194</v>
      </c>
      <c r="F4" s="6">
        <f>INDEX('6pow. 50 r.ż.'!B3:G28,MATCH(1,B4:B29,0),4)</f>
        <v>7</v>
      </c>
      <c r="G4" s="42">
        <f>INDEX('6pow. 50 r.ż.'!B3:G28,MATCH(1,B4:B29,0),5)</f>
        <v>162</v>
      </c>
      <c r="H4" s="6">
        <f>INDEX('6pow. 50 r.ż.'!B3:G28,MATCH(1,B4:B29,0),6)</f>
        <v>39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227</v>
      </c>
      <c r="E5" s="42">
        <f>INDEX('6pow. 50 r.ż.'!B3:G28,MATCH(2,B4:B29,0),3)</f>
        <v>232</v>
      </c>
      <c r="F5" s="6">
        <f>INDEX('6pow. 50 r.ż.'!B3:G28,MATCH(2,B4:B29,0),4)</f>
        <v>-5</v>
      </c>
      <c r="G5" s="42">
        <f>INDEX('6pow. 50 r.ż.'!B3:G28,MATCH(2,B4:B29,0),5)</f>
        <v>249</v>
      </c>
      <c r="H5" s="6">
        <f>INDEX('6pow. 50 r.ż.'!B3:G28,MATCH(2,B4:B29,0),6)</f>
        <v>-22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298</v>
      </c>
      <c r="E6" s="42">
        <f>INDEX('6pow. 50 r.ż.'!B3:G28,MATCH(3,B4:B29,0),3)</f>
        <v>292</v>
      </c>
      <c r="F6" s="6">
        <f>INDEX('6pow. 50 r.ż.'!B3:G28,MATCH(3,B4:B29,0),4)</f>
        <v>6</v>
      </c>
      <c r="G6" s="42">
        <f>INDEX('6pow. 50 r.ż.'!B3:G28,MATCH(3,B4:B29,0),5)</f>
        <v>294</v>
      </c>
      <c r="H6" s="6">
        <f>INDEX('6pow. 50 r.ż.'!B3:G28,MATCH(3,B4:B29,0),6)</f>
        <v>4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347</v>
      </c>
      <c r="E7" s="42">
        <f>INDEX('6pow. 50 r.ż.'!B3:G28,MATCH(4,B4:B29,0),3)</f>
        <v>340</v>
      </c>
      <c r="F7" s="6">
        <f>INDEX('6pow. 50 r.ż.'!B3:G28,MATCH(4,B4:B29,0),4)</f>
        <v>7</v>
      </c>
      <c r="G7" s="42">
        <f>INDEX('6pow. 50 r.ż.'!B3:G28,MATCH(4,B4:B29,0),5)</f>
        <v>351</v>
      </c>
      <c r="H7" s="6">
        <f>INDEX('6pow. 50 r.ż.'!B3:G28,MATCH(4,B4:B29,0),6)</f>
        <v>-4</v>
      </c>
    </row>
    <row r="8" spans="2:8" x14ac:dyDescent="0.2">
      <c r="B8" s="6">
        <f>RANK('6pow. 50 r.ż.'!C7,'6pow. 50 r.ż.'!$C$3:'6pow. 50 r.ż.'!$C$28,1)+COUNTIF('6pow. 50 r.ż.'!$C$3:'6pow. 50 r.ż.'!C7,'6pow. 50 r.ż.'!C7)-1</f>
        <v>22</v>
      </c>
      <c r="C8" s="5" t="str">
        <f>INDEX('6pow. 50 r.ż.'!B3:G28,MATCH(5,B4:B29,0),1)</f>
        <v>leski</v>
      </c>
      <c r="D8" s="6">
        <f>INDEX('6pow. 50 r.ż.'!B3:G28,MATCH(5,B4:B29,0),2)</f>
        <v>384</v>
      </c>
      <c r="E8" s="42">
        <f>INDEX('6pow. 50 r.ż.'!B3:G28,MATCH(5,B4:B29,0),3)</f>
        <v>395</v>
      </c>
      <c r="F8" s="6">
        <f>INDEX('6pow. 50 r.ż.'!B3:G28,MATCH(5,B4:B29,0),4)</f>
        <v>-11</v>
      </c>
      <c r="G8" s="42">
        <f>INDEX('6pow. 50 r.ż.'!B3:G28,MATCH(5,B4:B29,0),5)</f>
        <v>381</v>
      </c>
      <c r="H8" s="6">
        <f>INDEX('6pow. 50 r.ż.'!B3:G28,MATCH(5,B4:B29,0),6)</f>
        <v>3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404</v>
      </c>
      <c r="E9" s="42">
        <f>INDEX('6pow. 50 r.ż.'!B3:G28,MATCH(6,B4:B29,0),3)</f>
        <v>409</v>
      </c>
      <c r="F9" s="6">
        <f>INDEX('6pow. 50 r.ż.'!B3:G28,MATCH(6,B4:B29,0),4)</f>
        <v>-5</v>
      </c>
      <c r="G9" s="42">
        <f>INDEX('6pow. 50 r.ż.'!B3:G28,MATCH(6,B4:B29,0),5)</f>
        <v>394</v>
      </c>
      <c r="H9" s="6">
        <f>INDEX('6pow. 50 r.ż.'!B3:G28,MATCH(6,B4:B29,0),6)</f>
        <v>10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456</v>
      </c>
      <c r="E10" s="42">
        <f>INDEX('6pow. 50 r.ż.'!B3:G28,MATCH(7,B4:B29,0),3)</f>
        <v>448</v>
      </c>
      <c r="F10" s="6">
        <f>INDEX('6pow. 50 r.ż.'!B3:G28,MATCH(7,B4:B29,0),4)</f>
        <v>8</v>
      </c>
      <c r="G10" s="42">
        <f>INDEX('6pow. 50 r.ż.'!B3:G28,MATCH(7,B4:B29,0),5)</f>
        <v>462</v>
      </c>
      <c r="H10" s="6">
        <f>INDEX('6pow. 50 r.ż.'!B3:G28,MATCH(7,B4:B29,0),6)</f>
        <v>-6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stalowowolski</v>
      </c>
      <c r="D11" s="6">
        <f>INDEX('6pow. 50 r.ż.'!B3:G28,MATCH(8,B4:B29,0),2)</f>
        <v>503</v>
      </c>
      <c r="E11" s="42">
        <f>INDEX('6pow. 50 r.ż.'!B3:G28,MATCH(8,B4:B29,0),3)</f>
        <v>486</v>
      </c>
      <c r="F11" s="6">
        <f>INDEX('6pow. 50 r.ż.'!B3:G28,MATCH(8,B4:B29,0),4)</f>
        <v>17</v>
      </c>
      <c r="G11" s="42">
        <f>INDEX('6pow. 50 r.ż.'!B3:G28,MATCH(8,B4:B29,0),5)</f>
        <v>501</v>
      </c>
      <c r="H11" s="6">
        <f>INDEX('6pow. 50 r.ż.'!B3:G28,MATCH(8,B4:B29,0),6)</f>
        <v>2</v>
      </c>
    </row>
    <row r="12" spans="2:8" x14ac:dyDescent="0.2">
      <c r="B12" s="6">
        <f>RANK('6pow. 50 r.ż.'!C11,'6pow. 50 r.ż.'!$C$3:'6pow. 50 r.ż.'!$C$28,1)+COUNTIF('6pow. 50 r.ż.'!$C$3:'6pow. 50 r.ż.'!C11,'6pow. 50 r.ż.'!C11)-1</f>
        <v>14</v>
      </c>
      <c r="C12" s="5" t="str">
        <f>INDEX('6pow. 50 r.ż.'!B3:G28,MATCH(9,B4:B29,0),1)</f>
        <v>dębicki</v>
      </c>
      <c r="D12" s="6">
        <f>INDEX('6pow. 50 r.ż.'!B3:G28,MATCH(9,B4:B29,0),2)</f>
        <v>515</v>
      </c>
      <c r="E12" s="42">
        <f>INDEX('6pow. 50 r.ż.'!B3:G28,MATCH(9,B4:B29,0),3)</f>
        <v>533</v>
      </c>
      <c r="F12" s="6">
        <f>INDEX('6pow. 50 r.ż.'!B3:G28,MATCH(9,B4:B29,0),4)</f>
        <v>-18</v>
      </c>
      <c r="G12" s="42">
        <f>INDEX('6pow. 50 r.ż.'!B3:G28,MATCH(9,B4:B29,0),5)</f>
        <v>567</v>
      </c>
      <c r="H12" s="6">
        <f>INDEX('6pow. 50 r.ż.'!B3:G28,MATCH(9,B4:B29,0),6)</f>
        <v>-52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533</v>
      </c>
      <c r="E13" s="42">
        <f>INDEX('6pow. 50 r.ż.'!B3:G28,MATCH(10,B4:B29,0),3)</f>
        <v>538</v>
      </c>
      <c r="F13" s="6">
        <f>INDEX('6pow. 50 r.ż.'!B3:G28,MATCH(10,B4:B29,0),4)</f>
        <v>-5</v>
      </c>
      <c r="G13" s="42">
        <f>INDEX('6pow. 50 r.ż.'!B3:G28,MATCH(10,B4:B29,0),5)</f>
        <v>579</v>
      </c>
      <c r="H13" s="6">
        <f>INDEX('6pow. 50 r.ż.'!B3:G28,MATCH(10,B4:B29,0),6)</f>
        <v>-46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575</v>
      </c>
      <c r="E14" s="42">
        <f>INDEX('6pow. 50 r.ż.'!B3:G28,MATCH(11,B4:B29,0),3)</f>
        <v>570</v>
      </c>
      <c r="F14" s="6">
        <f>INDEX('6pow. 50 r.ż.'!B3:G28,MATCH(11,B4:B29,0),4)</f>
        <v>5</v>
      </c>
      <c r="G14" s="42">
        <f>INDEX('6pow. 50 r.ż.'!B3:G28,MATCH(11,B4:B29,0),5)</f>
        <v>572</v>
      </c>
      <c r="H14" s="6">
        <f>INDEX('6pow. 50 r.ż.'!B3:G28,MATCH(11,B4:B29,0),6)</f>
        <v>3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krośnieński</v>
      </c>
      <c r="D15" s="6">
        <f>INDEX('6pow. 50 r.ż.'!B3:G28,MATCH(12,B4:B29,0),2)</f>
        <v>579</v>
      </c>
      <c r="E15" s="42">
        <f>INDEX('6pow. 50 r.ż.'!B3:G28,MATCH(12,B4:B29,0),3)</f>
        <v>577</v>
      </c>
      <c r="F15" s="6">
        <f>INDEX('6pow. 50 r.ż.'!B3:G28,MATCH(12,B4:B29,0),4)</f>
        <v>2</v>
      </c>
      <c r="G15" s="42">
        <f>INDEX('6pow. 50 r.ż.'!B3:G28,MATCH(12,B4:B29,0),5)</f>
        <v>549</v>
      </c>
      <c r="H15" s="6">
        <f>INDEX('6pow. 50 r.ż.'!B3:G28,MATCH(12,B4:B29,0),6)</f>
        <v>30</v>
      </c>
    </row>
    <row r="16" spans="2:8" x14ac:dyDescent="0.2">
      <c r="B16" s="6">
        <f>RANK('6pow. 50 r.ż.'!C15,'6pow. 50 r.ż.'!$C$3:'6pow. 50 r.ż.'!$C$28,1)+COUNTIF('6pow. 50 r.ż.'!$C$3:'6pow. 50 r.ż.'!C15,'6pow. 50 r.ż.'!C15)-1</f>
        <v>18</v>
      </c>
      <c r="C16" s="5" t="str">
        <f>INDEX('6pow. 50 r.ż.'!B3:G28,MATCH(13,B4:B29,0),1)</f>
        <v>sanocki</v>
      </c>
      <c r="D16" s="6">
        <f>INDEX('6pow. 50 r.ż.'!B3:G28,MATCH(13,B4:B29,0),2)</f>
        <v>618</v>
      </c>
      <c r="E16" s="42">
        <f>INDEX('6pow. 50 r.ż.'!B3:G28,MATCH(13,B4:B29,0),3)</f>
        <v>601</v>
      </c>
      <c r="F16" s="6">
        <f>INDEX('6pow. 50 r.ż.'!B3:G28,MATCH(13,B4:B29,0),4)</f>
        <v>17</v>
      </c>
      <c r="G16" s="42">
        <f>INDEX('6pow. 50 r.ż.'!B3:G28,MATCH(13,B4:B29,0),5)</f>
        <v>621</v>
      </c>
      <c r="H16" s="6">
        <f>INDEX('6pow. 50 r.ż.'!B3:G28,MATCH(13,B4:B29,0),6)</f>
        <v>-3</v>
      </c>
    </row>
    <row r="17" spans="2:8" x14ac:dyDescent="0.2">
      <c r="B17" s="6">
        <f>RANK('6pow. 50 r.ż.'!C16,'6pow. 50 r.ż.'!$C$3:'6pow. 50 r.ż.'!$C$28,1)+COUNTIF('6pow. 50 r.ż.'!$C$3:'6pow. 50 r.ż.'!C16,'6pow. 50 r.ż.'!C16)-1</f>
        <v>15</v>
      </c>
      <c r="C17" s="5" t="str">
        <f>INDEX('6pow. 50 r.ż.'!B3:G28,MATCH(14,B4:B29,0),1)</f>
        <v>leżajski</v>
      </c>
      <c r="D17" s="6">
        <f>INDEX('6pow. 50 r.ż.'!B3:G28,MATCH(14,B4:B29,0),2)</f>
        <v>651</v>
      </c>
      <c r="E17" s="42">
        <f>INDEX('6pow. 50 r.ż.'!B3:G28,MATCH(14,B4:B29,0),3)</f>
        <v>655</v>
      </c>
      <c r="F17" s="6">
        <f>INDEX('6pow. 50 r.ż.'!B3:G28,MATCH(14,B4:B29,0),4)</f>
        <v>-4</v>
      </c>
      <c r="G17" s="42">
        <f>INDEX('6pow. 50 r.ż.'!B3:G28,MATCH(14,B4:B29,0),5)</f>
        <v>684</v>
      </c>
      <c r="H17" s="6">
        <f>INDEX('6pow. 50 r.ż.'!B3:G28,MATCH(14,B4:B29,0),6)</f>
        <v>-33</v>
      </c>
    </row>
    <row r="18" spans="2:8" x14ac:dyDescent="0.2">
      <c r="B18" s="6">
        <f>RANK('6pow. 50 r.ż.'!C17,'6pow. 50 r.ż.'!$C$3:'6pow. 50 r.ż.'!$C$28,1)+COUNTIF('6pow. 50 r.ż.'!$C$3:'6pow. 50 r.ż.'!C17,'6pow. 50 r.ż.'!C17)-1</f>
        <v>16</v>
      </c>
      <c r="C18" s="5" t="str">
        <f>INDEX('6pow. 50 r.ż.'!B3:G28,MATCH(15,B4:B29,0),1)</f>
        <v>przemyski</v>
      </c>
      <c r="D18" s="6">
        <f>INDEX('6pow. 50 r.ż.'!B3:G28,MATCH(15,B4:B29,0),2)</f>
        <v>666</v>
      </c>
      <c r="E18" s="42">
        <f>INDEX('6pow. 50 r.ż.'!B3:G28,MATCH(15,B4:B29,0),3)</f>
        <v>674</v>
      </c>
      <c r="F18" s="6">
        <f>INDEX('6pow. 50 r.ż.'!B3:G28,MATCH(15,B4:B29,0),4)</f>
        <v>-8</v>
      </c>
      <c r="G18" s="42">
        <f>INDEX('6pow. 50 r.ż.'!B3:G28,MATCH(15,B4:B29,0),5)</f>
        <v>679</v>
      </c>
      <c r="H18" s="6">
        <f>INDEX('6pow. 50 r.ż.'!B3:G28,MATCH(15,B4:B29,0),6)</f>
        <v>-13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przeworski</v>
      </c>
      <c r="D19" s="6">
        <f>INDEX('6pow. 50 r.ż.'!B3:G28,MATCH(16,B4:B29,0),2)</f>
        <v>683</v>
      </c>
      <c r="E19" s="42">
        <f>INDEX('6pow. 50 r.ż.'!B3:G28,MATCH(16,B4:B29,0),3)</f>
        <v>690</v>
      </c>
      <c r="F19" s="6">
        <f>INDEX('6pow. 50 r.ż.'!B3:G28,MATCH(16,B4:B29,0),4)</f>
        <v>-7</v>
      </c>
      <c r="G19" s="42">
        <f>INDEX('6pow. 50 r.ż.'!B3:G28,MATCH(16,B4:B29,0),5)</f>
        <v>669</v>
      </c>
      <c r="H19" s="6">
        <f>INDEX('6pow. 50 r.ż.'!B3:G28,MATCH(16,B4:B29,0),6)</f>
        <v>14</v>
      </c>
    </row>
    <row r="20" spans="2:8" x14ac:dyDescent="0.2">
      <c r="B20" s="6">
        <f>RANK('6pow. 50 r.ż.'!C19,'6pow. 50 r.ż.'!$C$3:'6pow. 50 r.ż.'!$C$28,1)+COUNTIF('6pow. 50 r.ż.'!$C$3:'6pow. 50 r.ż.'!C19,'6pow. 50 r.ż.'!C19)-1</f>
        <v>24</v>
      </c>
      <c r="C20" s="5" t="str">
        <f>INDEX('6pow. 50 r.ż.'!B3:G28,MATCH(17,B4:B29,0),1)</f>
        <v>strzyżowski</v>
      </c>
      <c r="D20" s="6">
        <f>INDEX('6pow. 50 r.ż.'!B3:G28,MATCH(17,B4:B29,0),2)</f>
        <v>685</v>
      </c>
      <c r="E20" s="42">
        <f>INDEX('6pow. 50 r.ż.'!B3:G28,MATCH(17,B4:B29,0),3)</f>
        <v>684</v>
      </c>
      <c r="F20" s="6">
        <f>INDEX('6pow. 50 r.ż.'!B3:G28,MATCH(17,B4:B29,0),4)</f>
        <v>1</v>
      </c>
      <c r="G20" s="42">
        <f>INDEX('6pow. 50 r.ż.'!B3:G28,MATCH(17,B4:B29,0),5)</f>
        <v>720</v>
      </c>
      <c r="H20" s="6">
        <f>INDEX('6pow. 50 r.ż.'!B3:G28,MATCH(17,B4:B29,0),6)</f>
        <v>-35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niżański</v>
      </c>
      <c r="D21" s="6">
        <f>INDEX('6pow. 50 r.ż.'!B3:G28,MATCH(18,B4:B29,0),2)</f>
        <v>689</v>
      </c>
      <c r="E21" s="42">
        <f>INDEX('6pow. 50 r.ż.'!B3:G28,MATCH(18,B4:B29,0),3)</f>
        <v>661</v>
      </c>
      <c r="F21" s="6">
        <f>INDEX('6pow. 50 r.ż.'!B3:G28,MATCH(18,B4:B29,0),4)</f>
        <v>28</v>
      </c>
      <c r="G21" s="42">
        <f>INDEX('6pow. 50 r.ż.'!B3:G28,MATCH(18,B4:B29,0),5)</f>
        <v>738</v>
      </c>
      <c r="H21" s="6">
        <f>INDEX('6pow. 50 r.ż.'!B3:G28,MATCH(18,B4:B29,0),6)</f>
        <v>-49</v>
      </c>
    </row>
    <row r="22" spans="2:8" x14ac:dyDescent="0.2">
      <c r="B22" s="6">
        <f>RANK('6pow. 50 r.ż.'!C21,'6pow. 50 r.ż.'!$C$3:'6pow. 50 r.ż.'!$C$28,1)+COUNTIF('6pow. 50 r.ż.'!$C$3:'6pow. 50 r.ż.'!C21,'6pow. 50 r.ż.'!C21)-1</f>
        <v>8</v>
      </c>
      <c r="C22" s="5" t="str">
        <f>INDEX('6pow. 50 r.ż.'!B3:G28,MATCH(19,B4:B29,0),1)</f>
        <v>Przemyśl</v>
      </c>
      <c r="D22" s="6">
        <f>INDEX('6pow. 50 r.ż.'!B3:G28,MATCH(19,B4:B29,0),2)</f>
        <v>689</v>
      </c>
      <c r="E22" s="42">
        <f>INDEX('6pow. 50 r.ż.'!B3:G28,MATCH(19,B4:B29,0),3)</f>
        <v>680</v>
      </c>
      <c r="F22" s="6">
        <f>INDEX('6pow. 50 r.ż.'!B3:G28,MATCH(19,B4:B29,0),4)</f>
        <v>9</v>
      </c>
      <c r="G22" s="42">
        <f>INDEX('6pow. 50 r.ż.'!B3:G28,MATCH(19,B4:B29,0),5)</f>
        <v>701</v>
      </c>
      <c r="H22" s="6">
        <f>INDEX('6pow. 50 r.ż.'!B3:G28,MATCH(19,B4:B29,0),6)</f>
        <v>-12</v>
      </c>
    </row>
    <row r="23" spans="2:8" x14ac:dyDescent="0.2">
      <c r="B23" s="6">
        <f>RANK('6pow. 50 r.ż.'!C22,'6pow. 50 r.ż.'!$C$3:'6pow. 50 r.ż.'!$C$28,1)+COUNTIF('6pow. 50 r.ż.'!$C$3:'6pow. 50 r.ż.'!C22,'6pow. 50 r.ż.'!C22)-1</f>
        <v>17</v>
      </c>
      <c r="C23" s="5" t="str">
        <f>INDEX('6pow. 50 r.ż.'!B3:G28,MATCH(20,B4:B29,0),1)</f>
        <v>mielecki</v>
      </c>
      <c r="D23" s="6">
        <f>INDEX('6pow. 50 r.ż.'!B3:G28,MATCH(20,B4:B29,0),2)</f>
        <v>726</v>
      </c>
      <c r="E23" s="42">
        <f>INDEX('6pow. 50 r.ż.'!B3:G28,MATCH(20,B4:B29,0),3)</f>
        <v>706</v>
      </c>
      <c r="F23" s="6">
        <f>INDEX('6pow. 50 r.ż.'!B3:G28,MATCH(20,B4:B29,0),4)</f>
        <v>20</v>
      </c>
      <c r="G23" s="42">
        <f>INDEX('6pow. 50 r.ż.'!B3:G28,MATCH(20,B4:B29,0),5)</f>
        <v>731</v>
      </c>
      <c r="H23" s="6">
        <f>INDEX('6pow. 50 r.ż.'!B3:G28,MATCH(20,B4:B29,0),6)</f>
        <v>-5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851</v>
      </c>
      <c r="E24" s="42">
        <f>INDEX('6pow. 50 r.ż.'!B3:G28,MATCH(21,B4:B29,0),3)</f>
        <v>852</v>
      </c>
      <c r="F24" s="6">
        <f>INDEX('6pow. 50 r.ż.'!B3:G28,MATCH(21,B4:B29,0),4)</f>
        <v>-1</v>
      </c>
      <c r="G24" s="42">
        <f>INDEX('6pow. 50 r.ż.'!B3:G28,MATCH(21,B4:B29,0),5)</f>
        <v>918</v>
      </c>
      <c r="H24" s="6">
        <f>INDEX('6pow. 50 r.ż.'!B3:G28,MATCH(21,B4:B29,0),6)</f>
        <v>-67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jasielski</v>
      </c>
      <c r="D25" s="6">
        <f>INDEX('6pow. 50 r.ż.'!B3:G28,MATCH(22,B4:B29,0),2)</f>
        <v>1054</v>
      </c>
      <c r="E25" s="42">
        <f>INDEX('6pow. 50 r.ż.'!B3:G28,MATCH(22,B4:B29,0),3)</f>
        <v>1061</v>
      </c>
      <c r="F25" s="6">
        <f>INDEX('6pow. 50 r.ż.'!B3:G28,MATCH(22,B4:B29,0),4)</f>
        <v>-7</v>
      </c>
      <c r="G25" s="42">
        <f>INDEX('6pow. 50 r.ż.'!B3:G28,MATCH(22,B4:B29,0),5)</f>
        <v>1097</v>
      </c>
      <c r="H25" s="6">
        <f>INDEX('6pow. 50 r.ż.'!B3:G28,MATCH(22,B4:B29,0),6)</f>
        <v>-43</v>
      </c>
    </row>
    <row r="26" spans="2:8" x14ac:dyDescent="0.2">
      <c r="B26" s="6">
        <f>RANK('6pow. 50 r.ż.'!C25,'6pow. 50 r.ż.'!$C$3:'6pow. 50 r.ż.'!$C$28,1)+COUNTIF('6pow. 50 r.ż.'!$C$3:'6pow. 50 r.ż.'!C25,'6pow. 50 r.ż.'!C25)-1</f>
        <v>19</v>
      </c>
      <c r="C26" s="5" t="str">
        <f>INDEX('6pow. 50 r.ż.'!B3:G28,MATCH(23,B4:B29,0),1)</f>
        <v>jarosławski</v>
      </c>
      <c r="D26" s="6">
        <f>INDEX('6pow. 50 r.ż.'!B3:G28,MATCH(23,B4:B29,0),2)</f>
        <v>1062</v>
      </c>
      <c r="E26" s="42">
        <f>INDEX('6pow. 50 r.ż.'!B3:G28,MATCH(23,B4:B29,0),3)</f>
        <v>1068</v>
      </c>
      <c r="F26" s="6">
        <f>INDEX('6pow. 50 r.ż.'!B3:G28,MATCH(23,B4:B29,0),4)</f>
        <v>-6</v>
      </c>
      <c r="G26" s="42">
        <f>INDEX('6pow. 50 r.ż.'!B3:G28,MATCH(23,B4:B29,0),5)</f>
        <v>1066</v>
      </c>
      <c r="H26" s="6">
        <f>INDEX('6pow. 50 r.ż.'!B3:G28,MATCH(23,B4:B29,0),6)</f>
        <v>-4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rzeszowski</v>
      </c>
      <c r="D27" s="6">
        <f>INDEX('6pow. 50 r.ż.'!B3:G28,MATCH(24,B4:B29,0),2)</f>
        <v>1063</v>
      </c>
      <c r="E27" s="42">
        <f>INDEX('6pow. 50 r.ż.'!B3:G28,MATCH(24,B4:B29,0),3)</f>
        <v>1056</v>
      </c>
      <c r="F27" s="6">
        <f>INDEX('6pow. 50 r.ż.'!B3:G28,MATCH(24,B4:B29,0),4)</f>
        <v>7</v>
      </c>
      <c r="G27" s="42">
        <f>INDEX('6pow. 50 r.ż.'!B3:G28,MATCH(24,B4:B29,0),5)</f>
        <v>1125</v>
      </c>
      <c r="H27" s="6">
        <f>INDEX('6pow. 50 r.ż.'!B3:G28,MATCH(24,B4:B29,0),6)</f>
        <v>-62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1306</v>
      </c>
      <c r="E28" s="42">
        <f>INDEX('6pow. 50 r.ż.'!B3:G28,MATCH(25,B4:B29,0),3)</f>
        <v>1319</v>
      </c>
      <c r="F28" s="6">
        <f>INDEX('6pow. 50 r.ż.'!B3:G28,MATCH(25,B4:B29,0),4)</f>
        <v>-13</v>
      </c>
      <c r="G28" s="42">
        <f>INDEX('6pow. 50 r.ż.'!B3:G28,MATCH(25,B4:B29,0),5)</f>
        <v>1399</v>
      </c>
      <c r="H28" s="6">
        <f>INDEX('6pow. 50 r.ż.'!B3:G28,MATCH(25,B4:B29,0),6)</f>
        <v>-93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15765</v>
      </c>
      <c r="E29" s="44">
        <f>INDEX('6pow. 50 r.ż.'!B3:G28,MATCH(26,B4:B29,0),3)</f>
        <v>15721</v>
      </c>
      <c r="F29" s="40">
        <f>INDEX('6pow. 50 r.ż.'!B3:G28,MATCH(26,B4:B29,0),4)</f>
        <v>44</v>
      </c>
      <c r="G29" s="44">
        <f>INDEX('6pow. 50 r.ż.'!B3:G28,MATCH(26,B4:B29,0),5)</f>
        <v>16209</v>
      </c>
      <c r="H29" s="40">
        <f>INDEX('6pow. 50 r.ż.'!B3:G28,MATCH(26,B4:B29,0),6)</f>
        <v>-444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93</v>
      </c>
      <c r="D2" s="38" t="s">
        <v>75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19</v>
      </c>
      <c r="D3" s="42">
        <v>61</v>
      </c>
      <c r="E3" s="28">
        <f t="shared" ref="E3:E27" si="0">SUM(C3)-D3</f>
        <v>-42</v>
      </c>
      <c r="F3" s="42">
        <v>25</v>
      </c>
      <c r="G3" s="28">
        <f t="shared" ref="G3:G27" si="1">SUM(C3)-F3</f>
        <v>-6</v>
      </c>
      <c r="H3" s="7"/>
    </row>
    <row r="4" spans="2:8" x14ac:dyDescent="0.2">
      <c r="B4" s="5" t="s">
        <v>1</v>
      </c>
      <c r="C4" s="28">
        <v>44</v>
      </c>
      <c r="D4" s="42">
        <v>79</v>
      </c>
      <c r="E4" s="28">
        <f t="shared" si="0"/>
        <v>-35</v>
      </c>
      <c r="F4" s="42">
        <v>56</v>
      </c>
      <c r="G4" s="28">
        <f t="shared" si="1"/>
        <v>-12</v>
      </c>
      <c r="H4" s="7"/>
    </row>
    <row r="5" spans="2:8" x14ac:dyDescent="0.2">
      <c r="B5" s="5" t="s">
        <v>2</v>
      </c>
      <c r="C5" s="28">
        <v>235</v>
      </c>
      <c r="D5" s="42">
        <v>287</v>
      </c>
      <c r="E5" s="28">
        <f t="shared" si="0"/>
        <v>-52</v>
      </c>
      <c r="F5" s="42">
        <v>220</v>
      </c>
      <c r="G5" s="28">
        <f t="shared" si="1"/>
        <v>15</v>
      </c>
      <c r="H5" s="7"/>
    </row>
    <row r="6" spans="2:8" x14ac:dyDescent="0.2">
      <c r="B6" s="5" t="s">
        <v>3</v>
      </c>
      <c r="C6" s="28">
        <v>197</v>
      </c>
      <c r="D6" s="42">
        <v>133</v>
      </c>
      <c r="E6" s="28">
        <f t="shared" si="0"/>
        <v>64</v>
      </c>
      <c r="F6" s="42">
        <v>273</v>
      </c>
      <c r="G6" s="28">
        <f t="shared" si="1"/>
        <v>-76</v>
      </c>
      <c r="H6" s="7"/>
    </row>
    <row r="7" spans="2:8" x14ac:dyDescent="0.2">
      <c r="B7" s="5" t="s">
        <v>4</v>
      </c>
      <c r="C7" s="28">
        <v>207</v>
      </c>
      <c r="D7" s="42">
        <v>201</v>
      </c>
      <c r="E7" s="28">
        <f t="shared" si="0"/>
        <v>6</v>
      </c>
      <c r="F7" s="42">
        <v>191</v>
      </c>
      <c r="G7" s="28">
        <f t="shared" si="1"/>
        <v>16</v>
      </c>
      <c r="H7" s="7"/>
    </row>
    <row r="8" spans="2:8" x14ac:dyDescent="0.2">
      <c r="B8" s="5" t="s">
        <v>5</v>
      </c>
      <c r="C8" s="28">
        <v>79</v>
      </c>
      <c r="D8" s="42">
        <v>72</v>
      </c>
      <c r="E8" s="28">
        <f t="shared" si="0"/>
        <v>7</v>
      </c>
      <c r="F8" s="42">
        <v>90</v>
      </c>
      <c r="G8" s="28">
        <f t="shared" si="1"/>
        <v>-11</v>
      </c>
      <c r="H8" s="7"/>
    </row>
    <row r="9" spans="2:8" x14ac:dyDescent="0.2">
      <c r="B9" s="9" t="s">
        <v>6</v>
      </c>
      <c r="C9" s="28">
        <v>54</v>
      </c>
      <c r="D9" s="42">
        <v>108</v>
      </c>
      <c r="E9" s="28">
        <f t="shared" si="0"/>
        <v>-54</v>
      </c>
      <c r="F9" s="42">
        <v>131</v>
      </c>
      <c r="G9" s="28">
        <f t="shared" si="1"/>
        <v>-77</v>
      </c>
      <c r="H9" s="7"/>
    </row>
    <row r="10" spans="2:8" x14ac:dyDescent="0.2">
      <c r="B10" s="5" t="s">
        <v>7</v>
      </c>
      <c r="C10" s="28">
        <v>36</v>
      </c>
      <c r="D10" s="42">
        <v>42</v>
      </c>
      <c r="E10" s="28">
        <f t="shared" si="0"/>
        <v>-6</v>
      </c>
      <c r="F10" s="42">
        <v>23</v>
      </c>
      <c r="G10" s="28">
        <f t="shared" si="1"/>
        <v>13</v>
      </c>
      <c r="H10" s="7"/>
    </row>
    <row r="11" spans="2:8" x14ac:dyDescent="0.2">
      <c r="B11" s="5" t="s">
        <v>8</v>
      </c>
      <c r="C11" s="28">
        <v>72</v>
      </c>
      <c r="D11" s="42">
        <v>83</v>
      </c>
      <c r="E11" s="28">
        <f t="shared" si="0"/>
        <v>-11</v>
      </c>
      <c r="F11" s="42">
        <v>59</v>
      </c>
      <c r="G11" s="28">
        <f t="shared" si="1"/>
        <v>13</v>
      </c>
      <c r="H11" s="7"/>
    </row>
    <row r="12" spans="2:8" x14ac:dyDescent="0.2">
      <c r="B12" s="5" t="s">
        <v>9</v>
      </c>
      <c r="C12" s="28">
        <v>78</v>
      </c>
      <c r="D12" s="42">
        <v>64</v>
      </c>
      <c r="E12" s="28">
        <f t="shared" si="0"/>
        <v>14</v>
      </c>
      <c r="F12" s="42">
        <v>111</v>
      </c>
      <c r="G12" s="28">
        <f t="shared" si="1"/>
        <v>-33</v>
      </c>
      <c r="H12" s="7"/>
    </row>
    <row r="13" spans="2:8" x14ac:dyDescent="0.2">
      <c r="B13" s="5" t="s">
        <v>10</v>
      </c>
      <c r="C13" s="28">
        <v>51</v>
      </c>
      <c r="D13" s="42">
        <v>74</v>
      </c>
      <c r="E13" s="28">
        <f t="shared" si="0"/>
        <v>-23</v>
      </c>
      <c r="F13" s="42">
        <v>58</v>
      </c>
      <c r="G13" s="28">
        <f t="shared" si="1"/>
        <v>-7</v>
      </c>
      <c r="H13" s="7"/>
    </row>
    <row r="14" spans="2:8" x14ac:dyDescent="0.2">
      <c r="B14" s="5" t="s">
        <v>11</v>
      </c>
      <c r="C14" s="28">
        <v>274</v>
      </c>
      <c r="D14" s="42">
        <v>238</v>
      </c>
      <c r="E14" s="28">
        <f t="shared" si="0"/>
        <v>36</v>
      </c>
      <c r="F14" s="42">
        <v>271</v>
      </c>
      <c r="G14" s="28">
        <f t="shared" si="1"/>
        <v>3</v>
      </c>
      <c r="H14" s="7"/>
    </row>
    <row r="15" spans="2:8" x14ac:dyDescent="0.2">
      <c r="B15" s="5" t="s">
        <v>12</v>
      </c>
      <c r="C15" s="28">
        <v>59</v>
      </c>
      <c r="D15" s="42">
        <v>76</v>
      </c>
      <c r="E15" s="28">
        <f t="shared" si="0"/>
        <v>-17</v>
      </c>
      <c r="F15" s="42">
        <v>105</v>
      </c>
      <c r="G15" s="28">
        <f t="shared" si="1"/>
        <v>-46</v>
      </c>
      <c r="H15" s="7"/>
    </row>
    <row r="16" spans="2:8" x14ac:dyDescent="0.2">
      <c r="B16" s="5" t="s">
        <v>13</v>
      </c>
      <c r="C16" s="28">
        <v>18</v>
      </c>
      <c r="D16" s="42">
        <v>47</v>
      </c>
      <c r="E16" s="28">
        <f t="shared" si="0"/>
        <v>-29</v>
      </c>
      <c r="F16" s="42">
        <v>21</v>
      </c>
      <c r="G16" s="28">
        <f t="shared" si="1"/>
        <v>-3</v>
      </c>
      <c r="H16" s="7"/>
    </row>
    <row r="17" spans="2:8" x14ac:dyDescent="0.2">
      <c r="B17" s="5" t="s">
        <v>14</v>
      </c>
      <c r="C17" s="28">
        <v>211</v>
      </c>
      <c r="D17" s="42">
        <v>152</v>
      </c>
      <c r="E17" s="28">
        <f t="shared" si="0"/>
        <v>59</v>
      </c>
      <c r="F17" s="42">
        <v>282</v>
      </c>
      <c r="G17" s="28">
        <f t="shared" si="1"/>
        <v>-71</v>
      </c>
      <c r="H17" s="7"/>
    </row>
    <row r="18" spans="2:8" x14ac:dyDescent="0.2">
      <c r="B18" s="5" t="s">
        <v>15</v>
      </c>
      <c r="C18" s="28">
        <v>115</v>
      </c>
      <c r="D18" s="42">
        <v>116</v>
      </c>
      <c r="E18" s="28">
        <f t="shared" si="0"/>
        <v>-1</v>
      </c>
      <c r="F18" s="42">
        <v>83</v>
      </c>
      <c r="G18" s="28">
        <f t="shared" si="1"/>
        <v>32</v>
      </c>
      <c r="H18" s="7"/>
    </row>
    <row r="19" spans="2:8" x14ac:dyDescent="0.2">
      <c r="B19" s="5" t="s">
        <v>16</v>
      </c>
      <c r="C19" s="28">
        <v>198</v>
      </c>
      <c r="D19" s="42">
        <v>147</v>
      </c>
      <c r="E19" s="28">
        <f t="shared" si="0"/>
        <v>51</v>
      </c>
      <c r="F19" s="42">
        <v>155</v>
      </c>
      <c r="G19" s="28">
        <f t="shared" si="1"/>
        <v>43</v>
      </c>
      <c r="H19" s="7"/>
    </row>
    <row r="20" spans="2:8" x14ac:dyDescent="0.2">
      <c r="B20" s="5" t="s">
        <v>17</v>
      </c>
      <c r="C20" s="28">
        <v>60</v>
      </c>
      <c r="D20" s="42">
        <v>114</v>
      </c>
      <c r="E20" s="28">
        <f t="shared" si="0"/>
        <v>-54</v>
      </c>
      <c r="F20" s="42">
        <v>90</v>
      </c>
      <c r="G20" s="28">
        <f t="shared" si="1"/>
        <v>-30</v>
      </c>
      <c r="H20" s="7"/>
    </row>
    <row r="21" spans="2:8" x14ac:dyDescent="0.2">
      <c r="B21" s="5" t="s">
        <v>18</v>
      </c>
      <c r="C21" s="28">
        <v>77</v>
      </c>
      <c r="D21" s="42">
        <v>149</v>
      </c>
      <c r="E21" s="28">
        <f t="shared" si="0"/>
        <v>-72</v>
      </c>
      <c r="F21" s="42">
        <v>96</v>
      </c>
      <c r="G21" s="28">
        <f t="shared" si="1"/>
        <v>-19</v>
      </c>
      <c r="H21" s="7"/>
    </row>
    <row r="22" spans="2:8" x14ac:dyDescent="0.2">
      <c r="B22" s="5" t="s">
        <v>19</v>
      </c>
      <c r="C22" s="28">
        <v>108</v>
      </c>
      <c r="D22" s="42">
        <v>82</v>
      </c>
      <c r="E22" s="28">
        <f t="shared" si="0"/>
        <v>26</v>
      </c>
      <c r="F22" s="42">
        <v>144</v>
      </c>
      <c r="G22" s="28">
        <f t="shared" si="1"/>
        <v>-36</v>
      </c>
      <c r="H22" s="7"/>
    </row>
    <row r="23" spans="2:8" x14ac:dyDescent="0.2">
      <c r="B23" s="5" t="s">
        <v>20</v>
      </c>
      <c r="C23" s="28">
        <v>46</v>
      </c>
      <c r="D23" s="42">
        <v>89</v>
      </c>
      <c r="E23" s="28">
        <f t="shared" si="0"/>
        <v>-43</v>
      </c>
      <c r="F23" s="42">
        <v>91</v>
      </c>
      <c r="G23" s="28">
        <f t="shared" si="1"/>
        <v>-45</v>
      </c>
      <c r="H23" s="7"/>
    </row>
    <row r="24" spans="2:8" x14ac:dyDescent="0.2">
      <c r="B24" s="5" t="s">
        <v>21</v>
      </c>
      <c r="C24" s="28">
        <v>60</v>
      </c>
      <c r="D24" s="42">
        <v>223</v>
      </c>
      <c r="E24" s="28">
        <f t="shared" si="0"/>
        <v>-163</v>
      </c>
      <c r="F24" s="42">
        <v>72</v>
      </c>
      <c r="G24" s="28">
        <f t="shared" si="1"/>
        <v>-12</v>
      </c>
      <c r="H24" s="7"/>
    </row>
    <row r="25" spans="2:8" x14ac:dyDescent="0.2">
      <c r="B25" s="5" t="s">
        <v>22</v>
      </c>
      <c r="C25" s="28">
        <v>89</v>
      </c>
      <c r="D25" s="42">
        <v>61</v>
      </c>
      <c r="E25" s="28">
        <f t="shared" si="0"/>
        <v>28</v>
      </c>
      <c r="F25" s="42">
        <v>55</v>
      </c>
      <c r="G25" s="28">
        <f t="shared" si="1"/>
        <v>34</v>
      </c>
      <c r="H25" s="7"/>
    </row>
    <row r="26" spans="2:8" x14ac:dyDescent="0.2">
      <c r="B26" s="5" t="s">
        <v>23</v>
      </c>
      <c r="C26" s="28">
        <v>644</v>
      </c>
      <c r="D26" s="42">
        <v>544</v>
      </c>
      <c r="E26" s="28">
        <f t="shared" si="0"/>
        <v>100</v>
      </c>
      <c r="F26" s="42">
        <v>763</v>
      </c>
      <c r="G26" s="28">
        <f t="shared" si="1"/>
        <v>-119</v>
      </c>
      <c r="H26" s="7"/>
    </row>
    <row r="27" spans="2:8" x14ac:dyDescent="0.2">
      <c r="B27" s="5" t="s">
        <v>24</v>
      </c>
      <c r="C27" s="28">
        <v>66</v>
      </c>
      <c r="D27" s="42">
        <v>31</v>
      </c>
      <c r="E27" s="28">
        <f t="shared" si="0"/>
        <v>35</v>
      </c>
      <c r="F27" s="42">
        <v>69</v>
      </c>
      <c r="G27" s="28">
        <f t="shared" si="1"/>
        <v>-3</v>
      </c>
      <c r="H27" s="7"/>
    </row>
    <row r="28" spans="2:8" ht="17.25" customHeight="1" x14ac:dyDescent="0.25">
      <c r="B28" s="39" t="s">
        <v>25</v>
      </c>
      <c r="C28" s="48">
        <f>SUM(C3:C27)</f>
        <v>3097</v>
      </c>
      <c r="D28" s="44">
        <f>SUM(D3:D27)</f>
        <v>3273</v>
      </c>
      <c r="E28" s="48">
        <f>SUM(E3:E27)</f>
        <v>-176</v>
      </c>
      <c r="F28" s="44">
        <f>SUM(F3:F27)</f>
        <v>3534</v>
      </c>
      <c r="G28" s="48">
        <f>SUM(G3:G27)</f>
        <v>-437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07-'24 r.</v>
      </c>
      <c r="E3" s="36" t="str">
        <f>T('7oferty p.'!D2)</f>
        <v>liczba ofert w 06-'24 r.</v>
      </c>
      <c r="F3" s="36" t="str">
        <f>T('7oferty p.'!E2)</f>
        <v>wzrost/spadek do poprzedniego  miesiąca</v>
      </c>
      <c r="G3" s="36" t="str">
        <f>T('7oferty p.'!F2)</f>
        <v>liczba ofert w 07-'23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2</v>
      </c>
      <c r="C4" s="5" t="str">
        <f>INDEX('7oferty p.'!B3:G28,MATCH(1,B4:B29,0),1)</f>
        <v>przemyski</v>
      </c>
      <c r="D4" s="24">
        <f>INDEX('7oferty p.'!B3:G28,MATCH(1,B4:B29,0),2)</f>
        <v>18</v>
      </c>
      <c r="E4" s="42">
        <f>INDEX('7oferty p.'!B3:G28,MATCH(1,B4:B29,0),3)</f>
        <v>47</v>
      </c>
      <c r="F4" s="6">
        <f>INDEX('7oferty p.'!B3:G28,MATCH(1,B4:B29,0),4)</f>
        <v>-29</v>
      </c>
      <c r="G4" s="42">
        <f>INDEX('7oferty p.'!B3:G28,MATCH(1,B4:B29,0),5)</f>
        <v>21</v>
      </c>
      <c r="H4" s="6">
        <f>INDEX('7oferty p.'!B3:G28,MATCH(1,B4:B29,0),6)</f>
        <v>-3</v>
      </c>
    </row>
    <row r="5" spans="2:8" x14ac:dyDescent="0.2">
      <c r="B5" s="6">
        <f>RANK('7oferty p.'!C4,'7oferty p.'!$C$3:'7oferty p.'!$C$28,1)+COUNTIF('7oferty p.'!$C$3:'7oferty p.'!C4,'7oferty p.'!C4)-1</f>
        <v>4</v>
      </c>
      <c r="C5" s="5" t="str">
        <f>INDEX('7oferty p.'!B3:G28,MATCH(2,B4:B29,0),1)</f>
        <v>bieszczadzki</v>
      </c>
      <c r="D5" s="6">
        <f>INDEX('7oferty p.'!B3:G28,MATCH(2,B4:B29,0),2)</f>
        <v>19</v>
      </c>
      <c r="E5" s="42">
        <f>INDEX('7oferty p.'!B3:G28,MATCH(2,B4:B29,0),3)</f>
        <v>61</v>
      </c>
      <c r="F5" s="6">
        <f>INDEX('7oferty p.'!B3:G28,MATCH(2,B4:B29,0),4)</f>
        <v>-42</v>
      </c>
      <c r="G5" s="42">
        <f>INDEX('7oferty p.'!B3:G28,MATCH(2,B4:B29,0),5)</f>
        <v>25</v>
      </c>
      <c r="H5" s="6">
        <f>INDEX('7oferty p.'!B3:G28,MATCH(2,B4:B29,0),6)</f>
        <v>-6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leski</v>
      </c>
      <c r="D6" s="6">
        <f>INDEX('7oferty p.'!B3:G28,MATCH(3,B4:B29,0),2)</f>
        <v>36</v>
      </c>
      <c r="E6" s="42">
        <f>INDEX('7oferty p.'!B3:G28,MATCH(3,B4:B29,0),3)</f>
        <v>42</v>
      </c>
      <c r="F6" s="6">
        <f>INDEX('7oferty p.'!B3:G28,MATCH(3,B4:B29,0),4)</f>
        <v>-6</v>
      </c>
      <c r="G6" s="42">
        <f>INDEX('7oferty p.'!B3:G28,MATCH(3,B4:B29,0),5)</f>
        <v>23</v>
      </c>
      <c r="H6" s="6">
        <f>INDEX('7oferty p.'!B3:G28,MATCH(3,B4:B29,0),6)</f>
        <v>13</v>
      </c>
    </row>
    <row r="7" spans="2:8" x14ac:dyDescent="0.2">
      <c r="B7" s="6">
        <f>RANK('7oferty p.'!C6,'7oferty p.'!$C$3:'7oferty p.'!$C$28,1)+COUNTIF('7oferty p.'!$C$3:'7oferty p.'!C6,'7oferty p.'!C6)-1</f>
        <v>19</v>
      </c>
      <c r="C7" s="5" t="str">
        <f>INDEX('7oferty p.'!B3:G28,MATCH(4,B4:B29,0),1)</f>
        <v>brzozowski</v>
      </c>
      <c r="D7" s="6">
        <f>INDEX('7oferty p.'!B3:G28,MATCH(4,B4:B29,0),2)</f>
        <v>44</v>
      </c>
      <c r="E7" s="42">
        <f>INDEX('7oferty p.'!B3:G28,MATCH(4,B4:B29,0),3)</f>
        <v>79</v>
      </c>
      <c r="F7" s="6">
        <f>INDEX('7oferty p.'!B3:G28,MATCH(4,B4:B29,0),4)</f>
        <v>-35</v>
      </c>
      <c r="G7" s="42">
        <f>INDEX('7oferty p.'!B3:G28,MATCH(4,B4:B29,0),5)</f>
        <v>56</v>
      </c>
      <c r="H7" s="6">
        <f>INDEX('7oferty p.'!B3:G28,MATCH(4,B4:B29,0),6)</f>
        <v>-12</v>
      </c>
    </row>
    <row r="8" spans="2:8" x14ac:dyDescent="0.2">
      <c r="B8" s="6">
        <f>RANK('7oferty p.'!C7,'7oferty p.'!$C$3:'7oferty p.'!$C$28,1)+COUNTIF('7oferty p.'!$C$3:'7oferty p.'!C7,'7oferty p.'!C7)-1</f>
        <v>21</v>
      </c>
      <c r="C8" s="5" t="str">
        <f>INDEX('7oferty p.'!B3:G28,MATCH(5,B4:B29,0),1)</f>
        <v xml:space="preserve">tarnobrzeski </v>
      </c>
      <c r="D8" s="6">
        <f>INDEX('7oferty p.'!B3:G28,MATCH(5,B4:B29,0),2)</f>
        <v>46</v>
      </c>
      <c r="E8" s="42">
        <f>INDEX('7oferty p.'!B3:G28,MATCH(5,B4:B29,0),3)</f>
        <v>89</v>
      </c>
      <c r="F8" s="6">
        <f>INDEX('7oferty p.'!B3:G28,MATCH(5,B4:B29,0),4)</f>
        <v>-43</v>
      </c>
      <c r="G8" s="42">
        <f>INDEX('7oferty p.'!B3:G28,MATCH(5,B4:B29,0),5)</f>
        <v>91</v>
      </c>
      <c r="H8" s="6">
        <f>INDEX('7oferty p.'!B3:G28,MATCH(5,B4:B29,0),6)</f>
        <v>-45</v>
      </c>
    </row>
    <row r="9" spans="2:8" x14ac:dyDescent="0.2">
      <c r="B9" s="6">
        <f>RANK('7oferty p.'!C8,'7oferty p.'!$C$3:'7oferty p.'!$C$28,1)+COUNTIF('7oferty p.'!$C$3:'7oferty p.'!C8,'7oferty p.'!C8)-1</f>
        <v>15</v>
      </c>
      <c r="C9" s="5" t="str">
        <f>INDEX('7oferty p.'!B3:G28,MATCH(6,B4:B29,0),1)</f>
        <v>łańcucki</v>
      </c>
      <c r="D9" s="6">
        <f>INDEX('7oferty p.'!B3:G28,MATCH(6,B4:B29,0),2)</f>
        <v>51</v>
      </c>
      <c r="E9" s="42">
        <f>INDEX('7oferty p.'!B3:G28,MATCH(6,B4:B29,0),3)</f>
        <v>74</v>
      </c>
      <c r="F9" s="6">
        <f>INDEX('7oferty p.'!B3:G28,MATCH(6,B4:B29,0),4)</f>
        <v>-23</v>
      </c>
      <c r="G9" s="42">
        <f>INDEX('7oferty p.'!B3:G28,MATCH(6,B4:B29,0),5)</f>
        <v>58</v>
      </c>
      <c r="H9" s="6">
        <f>INDEX('7oferty p.'!B3:G28,MATCH(6,B4:B29,0),6)</f>
        <v>-7</v>
      </c>
    </row>
    <row r="10" spans="2:8" x14ac:dyDescent="0.2">
      <c r="B10" s="6">
        <f>RANK('7oferty p.'!C9,'7oferty p.'!$C$3:'7oferty p.'!$C$28,1)+COUNTIF('7oferty p.'!$C$3:'7oferty p.'!C9,'7oferty p.'!C9)-1</f>
        <v>7</v>
      </c>
      <c r="C10" s="9" t="str">
        <f>INDEX('7oferty p.'!B3:G28,MATCH(7,B4:B29,0),1)</f>
        <v>krośnieński</v>
      </c>
      <c r="D10" s="6">
        <f>INDEX('7oferty p.'!B3:G28,MATCH(7,B4:B29,0),2)</f>
        <v>54</v>
      </c>
      <c r="E10" s="42">
        <f>INDEX('7oferty p.'!B3:G28,MATCH(7,B4:B29,0),3)</f>
        <v>108</v>
      </c>
      <c r="F10" s="6">
        <f>INDEX('7oferty p.'!B3:G28,MATCH(7,B4:B29,0),4)</f>
        <v>-54</v>
      </c>
      <c r="G10" s="42">
        <f>INDEX('7oferty p.'!B3:G28,MATCH(7,B4:B29,0),5)</f>
        <v>131</v>
      </c>
      <c r="H10" s="6">
        <f>INDEX('7oferty p.'!B3:G28,MATCH(7,B4:B29,0),6)</f>
        <v>-77</v>
      </c>
    </row>
    <row r="11" spans="2:8" x14ac:dyDescent="0.2">
      <c r="B11" s="6">
        <f>RANK('7oferty p.'!C10,'7oferty p.'!$C$3:'7oferty p.'!$C$28,1)+COUNTIF('7oferty p.'!$C$3:'7oferty p.'!C10,'7oferty p.'!C10)-1</f>
        <v>3</v>
      </c>
      <c r="C11" s="5" t="str">
        <f>INDEX('7oferty p.'!B3:G28,MATCH(8,B4:B29,0),1)</f>
        <v>niżański</v>
      </c>
      <c r="D11" s="6">
        <f>INDEX('7oferty p.'!B3:G28,MATCH(8,B4:B29,0),2)</f>
        <v>59</v>
      </c>
      <c r="E11" s="42">
        <f>INDEX('7oferty p.'!B3:G28,MATCH(8,B4:B29,0),3)</f>
        <v>76</v>
      </c>
      <c r="F11" s="6">
        <f>INDEX('7oferty p.'!B3:G28,MATCH(8,B4:B29,0),4)</f>
        <v>-17</v>
      </c>
      <c r="G11" s="42">
        <f>INDEX('7oferty p.'!B3:G28,MATCH(8,B4:B29,0),5)</f>
        <v>105</v>
      </c>
      <c r="H11" s="6">
        <f>INDEX('7oferty p.'!B3:G28,MATCH(8,B4:B29,0),6)</f>
        <v>-46</v>
      </c>
    </row>
    <row r="12" spans="2:8" x14ac:dyDescent="0.2">
      <c r="B12" s="6">
        <f>RANK('7oferty p.'!C11,'7oferty p.'!$C$3:'7oferty p.'!$C$28,1)+COUNTIF('7oferty p.'!$C$3:'7oferty p.'!C11,'7oferty p.'!C11)-1</f>
        <v>12</v>
      </c>
      <c r="C12" s="5" t="str">
        <f>INDEX('7oferty p.'!B3:G28,MATCH(9,B4:B29,0),1)</f>
        <v>sanocki</v>
      </c>
      <c r="D12" s="6">
        <f>INDEX('7oferty p.'!B3:G28,MATCH(9,B4:B29,0),2)</f>
        <v>60</v>
      </c>
      <c r="E12" s="42">
        <f>INDEX('7oferty p.'!B3:G28,MATCH(9,B4:B29,0),3)</f>
        <v>114</v>
      </c>
      <c r="F12" s="6">
        <f>INDEX('7oferty p.'!B3:G28,MATCH(9,B4:B29,0),4)</f>
        <v>-54</v>
      </c>
      <c r="G12" s="42">
        <f>INDEX('7oferty p.'!B3:G28,MATCH(9,B4:B29,0),5)</f>
        <v>90</v>
      </c>
      <c r="H12" s="6">
        <f>INDEX('7oferty p.'!B3:G28,MATCH(9,B4:B29,0),6)</f>
        <v>-30</v>
      </c>
    </row>
    <row r="13" spans="2:8" x14ac:dyDescent="0.2">
      <c r="B13" s="6">
        <f>RANK('7oferty p.'!C12,'7oferty p.'!$C$3:'7oferty p.'!$C$28,1)+COUNTIF('7oferty p.'!$C$3:'7oferty p.'!C12,'7oferty p.'!C12)-1</f>
        <v>14</v>
      </c>
      <c r="C13" s="5" t="str">
        <f>INDEX('7oferty p.'!B3:G28,MATCH(10,B4:B29,0),1)</f>
        <v>Krosno</v>
      </c>
      <c r="D13" s="6">
        <f>INDEX('7oferty p.'!B3:G28,MATCH(10,B4:B29,0),2)</f>
        <v>60</v>
      </c>
      <c r="E13" s="42">
        <f>INDEX('7oferty p.'!B3:G28,MATCH(10,B4:B29,0),3)</f>
        <v>223</v>
      </c>
      <c r="F13" s="6">
        <f>INDEX('7oferty p.'!B3:G28,MATCH(10,B4:B29,0),4)</f>
        <v>-163</v>
      </c>
      <c r="G13" s="42">
        <f>INDEX('7oferty p.'!B3:G28,MATCH(10,B4:B29,0),5)</f>
        <v>72</v>
      </c>
      <c r="H13" s="6">
        <f>INDEX('7oferty p.'!B3:G28,MATCH(10,B4:B29,0),6)</f>
        <v>-12</v>
      </c>
    </row>
    <row r="14" spans="2:8" x14ac:dyDescent="0.2">
      <c r="B14" s="6">
        <f>RANK('7oferty p.'!C13,'7oferty p.'!$C$3:'7oferty p.'!$C$28,1)+COUNTIF('7oferty p.'!$C$3:'7oferty p.'!C13,'7oferty p.'!C13)-1</f>
        <v>6</v>
      </c>
      <c r="C14" s="5" t="str">
        <f>INDEX('7oferty p.'!B3:G28,MATCH(11,B4:B29,0),1)</f>
        <v>Tarnobrzeg</v>
      </c>
      <c r="D14" s="6">
        <f>INDEX('7oferty p.'!B3:G28,MATCH(11,B4:B29,0),2)</f>
        <v>66</v>
      </c>
      <c r="E14" s="42">
        <f>INDEX('7oferty p.'!B3:G28,MATCH(11,B4:B29,0),3)</f>
        <v>31</v>
      </c>
      <c r="F14" s="6">
        <f>INDEX('7oferty p.'!B3:G28,MATCH(11,B4:B29,0),4)</f>
        <v>35</v>
      </c>
      <c r="G14" s="42">
        <f>INDEX('7oferty p.'!B3:G28,MATCH(11,B4:B29,0),5)</f>
        <v>69</v>
      </c>
      <c r="H14" s="6">
        <f>INDEX('7oferty p.'!B3:G28,MATCH(11,B4:B29,0),6)</f>
        <v>-3</v>
      </c>
    </row>
    <row r="15" spans="2:8" x14ac:dyDescent="0.2">
      <c r="B15" s="6">
        <f>RANK('7oferty p.'!C14,'7oferty p.'!$C$3:'7oferty p.'!$C$28,1)+COUNTIF('7oferty p.'!$C$3:'7oferty p.'!C14,'7oferty p.'!C14)-1</f>
        <v>24</v>
      </c>
      <c r="C15" s="5" t="str">
        <f>INDEX('7oferty p.'!B3:G28,MATCH(12,B4:B29,0),1)</f>
        <v>leżajski</v>
      </c>
      <c r="D15" s="6">
        <f>INDEX('7oferty p.'!B3:G28,MATCH(12,B4:B29,0),2)</f>
        <v>72</v>
      </c>
      <c r="E15" s="42">
        <f>INDEX('7oferty p.'!B3:G28,MATCH(12,B4:B29,0),3)</f>
        <v>83</v>
      </c>
      <c r="F15" s="6">
        <f>INDEX('7oferty p.'!B3:G28,MATCH(12,B4:B29,0),4)</f>
        <v>-11</v>
      </c>
      <c r="G15" s="42">
        <f>INDEX('7oferty p.'!B3:G28,MATCH(12,B4:B29,0),5)</f>
        <v>59</v>
      </c>
      <c r="H15" s="6">
        <f>INDEX('7oferty p.'!B3:G28,MATCH(12,B4:B29,0),6)</f>
        <v>13</v>
      </c>
    </row>
    <row r="16" spans="2:8" x14ac:dyDescent="0.2">
      <c r="B16" s="6">
        <f>RANK('7oferty p.'!C15,'7oferty p.'!$C$3:'7oferty p.'!$C$28,1)+COUNTIF('7oferty p.'!$C$3:'7oferty p.'!C15,'7oferty p.'!C15)-1</f>
        <v>8</v>
      </c>
      <c r="C16" s="5" t="str">
        <f>INDEX('7oferty p.'!B3:G28,MATCH(13,B4:B29,0),1)</f>
        <v>stalowowolski</v>
      </c>
      <c r="D16" s="6">
        <f>INDEX('7oferty p.'!B3:G28,MATCH(13,B4:B29,0),2)</f>
        <v>77</v>
      </c>
      <c r="E16" s="42">
        <f>INDEX('7oferty p.'!B3:G28,MATCH(13,B4:B29,0),3)</f>
        <v>149</v>
      </c>
      <c r="F16" s="6">
        <f>INDEX('7oferty p.'!B3:G28,MATCH(13,B4:B29,0),4)</f>
        <v>-72</v>
      </c>
      <c r="G16" s="42">
        <f>INDEX('7oferty p.'!B3:G28,MATCH(13,B4:B29,0),5)</f>
        <v>96</v>
      </c>
      <c r="H16" s="6">
        <f>INDEX('7oferty p.'!B3:G28,MATCH(13,B4:B29,0),6)</f>
        <v>-19</v>
      </c>
    </row>
    <row r="17" spans="2:8" x14ac:dyDescent="0.2">
      <c r="B17" s="6">
        <f>RANK('7oferty p.'!C16,'7oferty p.'!$C$3:'7oferty p.'!$C$28,1)+COUNTIF('7oferty p.'!$C$3:'7oferty p.'!C16,'7oferty p.'!C16)-1</f>
        <v>1</v>
      </c>
      <c r="C17" s="5" t="str">
        <f>INDEX('7oferty p.'!B3:G28,MATCH(14,B4:B29,0),1)</f>
        <v>lubaczowski</v>
      </c>
      <c r="D17" s="6">
        <f>INDEX('7oferty p.'!B3:G28,MATCH(14,B4:B29,0),2)</f>
        <v>78</v>
      </c>
      <c r="E17" s="42">
        <f>INDEX('7oferty p.'!B3:G28,MATCH(14,B4:B29,0),3)</f>
        <v>64</v>
      </c>
      <c r="F17" s="6">
        <f>INDEX('7oferty p.'!B3:G28,MATCH(14,B4:B29,0),4)</f>
        <v>14</v>
      </c>
      <c r="G17" s="42">
        <f>INDEX('7oferty p.'!B3:G28,MATCH(14,B4:B29,0),5)</f>
        <v>111</v>
      </c>
      <c r="H17" s="6">
        <f>INDEX('7oferty p.'!B3:G28,MATCH(14,B4:B29,0),6)</f>
        <v>-33</v>
      </c>
    </row>
    <row r="18" spans="2:8" x14ac:dyDescent="0.2">
      <c r="B18" s="6">
        <f>RANK('7oferty p.'!C17,'7oferty p.'!$C$3:'7oferty p.'!$C$28,1)+COUNTIF('7oferty p.'!$C$3:'7oferty p.'!C17,'7oferty p.'!C17)-1</f>
        <v>22</v>
      </c>
      <c r="C18" s="5" t="str">
        <f>INDEX('7oferty p.'!B3:G28,MATCH(15,B4:B29,0),1)</f>
        <v>kolbuszowski</v>
      </c>
      <c r="D18" s="6">
        <f>INDEX('7oferty p.'!B3:G28,MATCH(15,B4:B29,0),2)</f>
        <v>79</v>
      </c>
      <c r="E18" s="42">
        <f>INDEX('7oferty p.'!B3:G28,MATCH(15,B4:B29,0),3)</f>
        <v>72</v>
      </c>
      <c r="F18" s="6">
        <f>INDEX('7oferty p.'!B3:G28,MATCH(15,B4:B29,0),4)</f>
        <v>7</v>
      </c>
      <c r="G18" s="42">
        <f>INDEX('7oferty p.'!B3:G28,MATCH(15,B4:B29,0),5)</f>
        <v>90</v>
      </c>
      <c r="H18" s="6">
        <f>INDEX('7oferty p.'!B3:G28,MATCH(15,B4:B29,0),6)</f>
        <v>-11</v>
      </c>
    </row>
    <row r="19" spans="2:8" x14ac:dyDescent="0.2">
      <c r="B19" s="6">
        <f>RANK('7oferty p.'!C18,'7oferty p.'!$C$3:'7oferty p.'!$C$28,1)+COUNTIF('7oferty p.'!$C$3:'7oferty p.'!C18,'7oferty p.'!C18)-1</f>
        <v>18</v>
      </c>
      <c r="C19" s="5" t="str">
        <f>INDEX('7oferty p.'!B3:G28,MATCH(16,B4:B29,0),1)</f>
        <v>Przemyśl</v>
      </c>
      <c r="D19" s="6">
        <f>INDEX('7oferty p.'!B3:G28,MATCH(16,B4:B29,0),2)</f>
        <v>89</v>
      </c>
      <c r="E19" s="42">
        <f>INDEX('7oferty p.'!B3:G28,MATCH(16,B4:B29,0),3)</f>
        <v>61</v>
      </c>
      <c r="F19" s="6">
        <f>INDEX('7oferty p.'!B3:G28,MATCH(16,B4:B29,0),4)</f>
        <v>28</v>
      </c>
      <c r="G19" s="42">
        <f>INDEX('7oferty p.'!B3:G28,MATCH(16,B4:B29,0),5)</f>
        <v>55</v>
      </c>
      <c r="H19" s="6">
        <f>INDEX('7oferty p.'!B3:G28,MATCH(16,B4:B29,0),6)</f>
        <v>34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strzyżowski</v>
      </c>
      <c r="D20" s="6">
        <f>INDEX('7oferty p.'!B3:G28,MATCH(17,B4:B29,0),2)</f>
        <v>108</v>
      </c>
      <c r="E20" s="42">
        <f>INDEX('7oferty p.'!B3:G28,MATCH(17,B4:B29,0),3)</f>
        <v>82</v>
      </c>
      <c r="F20" s="6">
        <f>INDEX('7oferty p.'!B3:G28,MATCH(17,B4:B29,0),4)</f>
        <v>26</v>
      </c>
      <c r="G20" s="42">
        <f>INDEX('7oferty p.'!B3:G28,MATCH(17,B4:B29,0),5)</f>
        <v>144</v>
      </c>
      <c r="H20" s="6">
        <f>INDEX('7oferty p.'!B3:G28,MATCH(17,B4:B29,0),6)</f>
        <v>-36</v>
      </c>
    </row>
    <row r="21" spans="2:8" x14ac:dyDescent="0.2">
      <c r="B21" s="6">
        <f>RANK('7oferty p.'!C20,'7oferty p.'!$C$3:'7oferty p.'!$C$28,1)+COUNTIF('7oferty p.'!$C$3:'7oferty p.'!C20,'7oferty p.'!C20)-1</f>
        <v>9</v>
      </c>
      <c r="C21" s="5" t="str">
        <f>INDEX('7oferty p.'!B3:G28,MATCH(18,B4:B29,0),1)</f>
        <v>ropczycko-sędziszowski</v>
      </c>
      <c r="D21" s="6">
        <f>INDEX('7oferty p.'!B3:G28,MATCH(18,B4:B29,0),2)</f>
        <v>115</v>
      </c>
      <c r="E21" s="42">
        <f>INDEX('7oferty p.'!B3:G28,MATCH(18,B4:B29,0),3)</f>
        <v>116</v>
      </c>
      <c r="F21" s="6">
        <f>INDEX('7oferty p.'!B3:G28,MATCH(18,B4:B29,0),4)</f>
        <v>-1</v>
      </c>
      <c r="G21" s="42">
        <f>INDEX('7oferty p.'!B3:G28,MATCH(18,B4:B29,0),5)</f>
        <v>83</v>
      </c>
      <c r="H21" s="6">
        <f>INDEX('7oferty p.'!B3:G28,MATCH(18,B4:B29,0),6)</f>
        <v>32</v>
      </c>
    </row>
    <row r="22" spans="2:8" x14ac:dyDescent="0.2">
      <c r="B22" s="6">
        <f>RANK('7oferty p.'!C21,'7oferty p.'!$C$3:'7oferty p.'!$C$28,1)+COUNTIF('7oferty p.'!$C$3:'7oferty p.'!C21,'7oferty p.'!C21)-1</f>
        <v>13</v>
      </c>
      <c r="C22" s="5" t="str">
        <f>INDEX('7oferty p.'!B3:G28,MATCH(19,B4:B29,0),1)</f>
        <v>jarosławski</v>
      </c>
      <c r="D22" s="6">
        <f>INDEX('7oferty p.'!B3:G28,MATCH(19,B4:B29,0),2)</f>
        <v>197</v>
      </c>
      <c r="E22" s="42">
        <f>INDEX('7oferty p.'!B3:G28,MATCH(19,B4:B29,0),3)</f>
        <v>133</v>
      </c>
      <c r="F22" s="6">
        <f>INDEX('7oferty p.'!B3:G28,MATCH(19,B4:B29,0),4)</f>
        <v>64</v>
      </c>
      <c r="G22" s="42">
        <f>INDEX('7oferty p.'!B3:G28,MATCH(19,B4:B29,0),5)</f>
        <v>273</v>
      </c>
      <c r="H22" s="6">
        <f>INDEX('7oferty p.'!B3:G28,MATCH(19,B4:B29,0),6)</f>
        <v>-76</v>
      </c>
    </row>
    <row r="23" spans="2:8" x14ac:dyDescent="0.2">
      <c r="B23" s="6">
        <f>RANK('7oferty p.'!C22,'7oferty p.'!$C$3:'7oferty p.'!$C$28,1)+COUNTIF('7oferty p.'!$C$3:'7oferty p.'!C22,'7oferty p.'!C22)-1</f>
        <v>17</v>
      </c>
      <c r="C23" s="5" t="str">
        <f>INDEX('7oferty p.'!B3:G28,MATCH(20,B4:B29,0),1)</f>
        <v>rzeszowski</v>
      </c>
      <c r="D23" s="6">
        <f>INDEX('7oferty p.'!B3:G28,MATCH(20,B4:B29,0),2)</f>
        <v>198</v>
      </c>
      <c r="E23" s="42">
        <f>INDEX('7oferty p.'!B3:G28,MATCH(20,B4:B29,0),3)</f>
        <v>147</v>
      </c>
      <c r="F23" s="6">
        <f>INDEX('7oferty p.'!B3:G28,MATCH(20,B4:B29,0),4)</f>
        <v>51</v>
      </c>
      <c r="G23" s="42">
        <f>INDEX('7oferty p.'!B3:G28,MATCH(20,B4:B29,0),5)</f>
        <v>155</v>
      </c>
      <c r="H23" s="6">
        <f>INDEX('7oferty p.'!B3:G28,MATCH(20,B4:B29,0),6)</f>
        <v>43</v>
      </c>
    </row>
    <row r="24" spans="2:8" x14ac:dyDescent="0.2">
      <c r="B24" s="6">
        <f>RANK('7oferty p.'!C23,'7oferty p.'!$C$3:'7oferty p.'!$C$28,1)+COUNTIF('7oferty p.'!$C$3:'7oferty p.'!C23,'7oferty p.'!C23)-1</f>
        <v>5</v>
      </c>
      <c r="C24" s="5" t="str">
        <f>INDEX('7oferty p.'!B3:G28,MATCH(21,B4:B29,0),1)</f>
        <v>jasielski</v>
      </c>
      <c r="D24" s="6">
        <f>INDEX('7oferty p.'!B3:G28,MATCH(21,B4:B29,0),2)</f>
        <v>207</v>
      </c>
      <c r="E24" s="42">
        <f>INDEX('7oferty p.'!B3:G28,MATCH(21,B4:B29,0),3)</f>
        <v>201</v>
      </c>
      <c r="F24" s="6">
        <f>INDEX('7oferty p.'!B3:G28,MATCH(21,B4:B29,0),4)</f>
        <v>6</v>
      </c>
      <c r="G24" s="42">
        <f>INDEX('7oferty p.'!B3:G28,MATCH(21,B4:B29,0),5)</f>
        <v>191</v>
      </c>
      <c r="H24" s="6">
        <f>INDEX('7oferty p.'!B3:G28,MATCH(21,B4:B29,0),6)</f>
        <v>16</v>
      </c>
    </row>
    <row r="25" spans="2:8" x14ac:dyDescent="0.2">
      <c r="B25" s="6">
        <f>RANK('7oferty p.'!C24,'7oferty p.'!$C$3:'7oferty p.'!$C$28,1)+COUNTIF('7oferty p.'!$C$3:'7oferty p.'!C24,'7oferty p.'!C24)-1</f>
        <v>10</v>
      </c>
      <c r="C25" s="5" t="str">
        <f>INDEX('7oferty p.'!B3:G28,MATCH(22,B4:B29,0),1)</f>
        <v>przeworski</v>
      </c>
      <c r="D25" s="6">
        <f>INDEX('7oferty p.'!B3:G28,MATCH(22,B4:B29,0),2)</f>
        <v>211</v>
      </c>
      <c r="E25" s="42">
        <f>INDEX('7oferty p.'!B3:G28,MATCH(22,B4:B29,0),3)</f>
        <v>152</v>
      </c>
      <c r="F25" s="6">
        <f>INDEX('7oferty p.'!B3:G28,MATCH(22,B4:B29,0),4)</f>
        <v>59</v>
      </c>
      <c r="G25" s="42">
        <f>INDEX('7oferty p.'!B3:G28,MATCH(22,B4:B29,0),5)</f>
        <v>282</v>
      </c>
      <c r="H25" s="6">
        <f>INDEX('7oferty p.'!B3:G28,MATCH(22,B4:B29,0),6)</f>
        <v>-71</v>
      </c>
    </row>
    <row r="26" spans="2:8" x14ac:dyDescent="0.2">
      <c r="B26" s="6">
        <f>RANK('7oferty p.'!C25,'7oferty p.'!$C$3:'7oferty p.'!$C$28,1)+COUNTIF('7oferty p.'!$C$3:'7oferty p.'!C25,'7oferty p.'!C25)-1</f>
        <v>16</v>
      </c>
      <c r="C26" s="5" t="str">
        <f>INDEX('7oferty p.'!B3:G28,MATCH(23,B4:B29,0),1)</f>
        <v>dębicki</v>
      </c>
      <c r="D26" s="6">
        <f>INDEX('7oferty p.'!B3:G28,MATCH(23,B4:B29,0),2)</f>
        <v>235</v>
      </c>
      <c r="E26" s="42">
        <f>INDEX('7oferty p.'!B3:G28,MATCH(23,B4:B29,0),3)</f>
        <v>287</v>
      </c>
      <c r="F26" s="6">
        <f>INDEX('7oferty p.'!B3:G28,MATCH(23,B4:B29,0),4)</f>
        <v>-52</v>
      </c>
      <c r="G26" s="42">
        <f>INDEX('7oferty p.'!B3:G28,MATCH(23,B4:B29,0),5)</f>
        <v>220</v>
      </c>
      <c r="H26" s="6">
        <f>INDEX('7oferty p.'!B3:G28,MATCH(23,B4:B29,0),6)</f>
        <v>15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mielecki</v>
      </c>
      <c r="D27" s="6">
        <f>INDEX('7oferty p.'!B3:G28,MATCH(24,B4:B29,0),2)</f>
        <v>274</v>
      </c>
      <c r="E27" s="42">
        <f>INDEX('7oferty p.'!B3:G28,MATCH(24,B4:B29,0),3)</f>
        <v>238</v>
      </c>
      <c r="F27" s="6">
        <f>INDEX('7oferty p.'!B3:G28,MATCH(24,B4:B29,0),4)</f>
        <v>36</v>
      </c>
      <c r="G27" s="42">
        <f>INDEX('7oferty p.'!B3:G28,MATCH(24,B4:B29,0),5)</f>
        <v>271</v>
      </c>
      <c r="H27" s="6">
        <f>INDEX('7oferty p.'!B3:G28,MATCH(24,B4:B29,0),6)</f>
        <v>3</v>
      </c>
    </row>
    <row r="28" spans="2:8" x14ac:dyDescent="0.2">
      <c r="B28" s="6">
        <f>RANK('7oferty p.'!C27,'7oferty p.'!$C$3:'7oferty p.'!$C$28,1)+COUNTIF('7oferty p.'!$C$3:'7oferty p.'!C27,'7oferty p.'!C27)-1</f>
        <v>11</v>
      </c>
      <c r="C28" s="5" t="str">
        <f>INDEX('7oferty p.'!B3:G28,MATCH(25,B4:B29,0),1)</f>
        <v>Rzeszów</v>
      </c>
      <c r="D28" s="6">
        <f>INDEX('7oferty p.'!B3:G28,MATCH(25,B4:B29,0),2)</f>
        <v>644</v>
      </c>
      <c r="E28" s="42">
        <f>INDEX('7oferty p.'!B3:G28,MATCH(25,B4:B29,0),3)</f>
        <v>544</v>
      </c>
      <c r="F28" s="6">
        <f>INDEX('7oferty p.'!B3:G28,MATCH(25,B4:B29,0),4)</f>
        <v>100</v>
      </c>
      <c r="G28" s="42">
        <f>INDEX('7oferty p.'!B3:G28,MATCH(25,B4:B29,0),5)</f>
        <v>763</v>
      </c>
      <c r="H28" s="6">
        <f>INDEX('7oferty p.'!B3:G28,MATCH(25,B4:B29,0),6)</f>
        <v>-119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3097</v>
      </c>
      <c r="E29" s="44">
        <f>INDEX('7oferty p.'!B3:G28,MATCH(26,B4:B29,0),3)</f>
        <v>3273</v>
      </c>
      <c r="F29" s="40">
        <f>INDEX('7oferty p.'!B3:G28,MATCH(26,B4:B29,0),4)</f>
        <v>-176</v>
      </c>
      <c r="G29" s="44">
        <f>INDEX('7oferty p.'!B3:G28,MATCH(26,B4:B29,0),5)</f>
        <v>3534</v>
      </c>
      <c r="H29" s="40">
        <f>INDEX('7oferty p.'!B3:G28,MATCH(26,B4:B29,0),6)</f>
        <v>-437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10</v>
      </c>
      <c r="D4" s="42">
        <v>50</v>
      </c>
      <c r="E4" s="28">
        <f t="shared" ref="E4:E28" si="0">SUM(C4)-D4</f>
        <v>-40</v>
      </c>
      <c r="F4" s="42">
        <v>23</v>
      </c>
      <c r="G4" s="28">
        <f t="shared" ref="G4:G28" si="1">SUM(C4)-F4</f>
        <v>-13</v>
      </c>
      <c r="H4" s="7"/>
    </row>
    <row r="5" spans="2:11" x14ac:dyDescent="0.2">
      <c r="B5" s="5" t="s">
        <v>1</v>
      </c>
      <c r="C5" s="28">
        <v>31</v>
      </c>
      <c r="D5" s="42">
        <v>61</v>
      </c>
      <c r="E5" s="28">
        <f t="shared" si="0"/>
        <v>-30</v>
      </c>
      <c r="F5" s="42">
        <v>52</v>
      </c>
      <c r="G5" s="28">
        <f t="shared" si="1"/>
        <v>-21</v>
      </c>
      <c r="H5" s="7"/>
    </row>
    <row r="6" spans="2:11" x14ac:dyDescent="0.2">
      <c r="B6" s="5" t="s">
        <v>2</v>
      </c>
      <c r="C6" s="28">
        <v>33</v>
      </c>
      <c r="D6" s="42">
        <v>53</v>
      </c>
      <c r="E6" s="28">
        <f t="shared" si="0"/>
        <v>-20</v>
      </c>
      <c r="F6" s="42">
        <v>61</v>
      </c>
      <c r="G6" s="28">
        <f t="shared" si="1"/>
        <v>-28</v>
      </c>
      <c r="H6" s="7"/>
    </row>
    <row r="7" spans="2:11" x14ac:dyDescent="0.2">
      <c r="B7" s="5" t="s">
        <v>3</v>
      </c>
      <c r="C7" s="28">
        <v>110</v>
      </c>
      <c r="D7" s="42">
        <v>23</v>
      </c>
      <c r="E7" s="28">
        <f t="shared" si="0"/>
        <v>87</v>
      </c>
      <c r="F7" s="42">
        <v>89</v>
      </c>
      <c r="G7" s="28">
        <f t="shared" si="1"/>
        <v>21</v>
      </c>
      <c r="H7" s="7"/>
    </row>
    <row r="8" spans="2:11" x14ac:dyDescent="0.2">
      <c r="B8" s="5" t="s">
        <v>4</v>
      </c>
      <c r="C8" s="28">
        <v>58</v>
      </c>
      <c r="D8" s="42">
        <v>72</v>
      </c>
      <c r="E8" s="28">
        <f t="shared" si="0"/>
        <v>-14</v>
      </c>
      <c r="F8" s="42">
        <v>109</v>
      </c>
      <c r="G8" s="28">
        <f t="shared" si="1"/>
        <v>-51</v>
      </c>
      <c r="H8" s="7"/>
    </row>
    <row r="9" spans="2:11" x14ac:dyDescent="0.2">
      <c r="B9" s="5" t="s">
        <v>5</v>
      </c>
      <c r="C9" s="28">
        <v>42</v>
      </c>
      <c r="D9" s="42">
        <v>28</v>
      </c>
      <c r="E9" s="28">
        <f t="shared" si="0"/>
        <v>14</v>
      </c>
      <c r="F9" s="42">
        <v>59</v>
      </c>
      <c r="G9" s="28">
        <f t="shared" si="1"/>
        <v>-17</v>
      </c>
      <c r="H9" s="7"/>
    </row>
    <row r="10" spans="2:11" x14ac:dyDescent="0.2">
      <c r="B10" s="9" t="s">
        <v>6</v>
      </c>
      <c r="C10" s="28">
        <v>23</v>
      </c>
      <c r="D10" s="42">
        <v>28</v>
      </c>
      <c r="E10" s="28">
        <f t="shared" si="0"/>
        <v>-5</v>
      </c>
      <c r="F10" s="42">
        <v>31</v>
      </c>
      <c r="G10" s="28">
        <f t="shared" si="1"/>
        <v>-8</v>
      </c>
      <c r="H10" s="7"/>
    </row>
    <row r="11" spans="2:11" x14ac:dyDescent="0.2">
      <c r="B11" s="5" t="s">
        <v>7</v>
      </c>
      <c r="C11" s="28">
        <v>12</v>
      </c>
      <c r="D11" s="42">
        <v>19</v>
      </c>
      <c r="E11" s="28">
        <f t="shared" si="0"/>
        <v>-7</v>
      </c>
      <c r="F11" s="42">
        <v>21</v>
      </c>
      <c r="G11" s="28">
        <f t="shared" si="1"/>
        <v>-9</v>
      </c>
      <c r="H11" s="7"/>
    </row>
    <row r="12" spans="2:11" x14ac:dyDescent="0.2">
      <c r="B12" s="5" t="s">
        <v>8</v>
      </c>
      <c r="C12" s="28">
        <v>20</v>
      </c>
      <c r="D12" s="42">
        <v>51</v>
      </c>
      <c r="E12" s="28">
        <f t="shared" si="0"/>
        <v>-31</v>
      </c>
      <c r="F12" s="42">
        <v>42</v>
      </c>
      <c r="G12" s="28">
        <f t="shared" si="1"/>
        <v>-22</v>
      </c>
      <c r="H12" s="7"/>
    </row>
    <row r="13" spans="2:11" x14ac:dyDescent="0.2">
      <c r="B13" s="5" t="s">
        <v>9</v>
      </c>
      <c r="C13" s="28">
        <v>43</v>
      </c>
      <c r="D13" s="42">
        <v>43</v>
      </c>
      <c r="E13" s="28">
        <f t="shared" si="0"/>
        <v>0</v>
      </c>
      <c r="F13" s="42">
        <v>44</v>
      </c>
      <c r="G13" s="28">
        <f t="shared" si="1"/>
        <v>-1</v>
      </c>
      <c r="H13" s="7"/>
    </row>
    <row r="14" spans="2:11" x14ac:dyDescent="0.2">
      <c r="B14" s="5" t="s">
        <v>10</v>
      </c>
      <c r="C14" s="28">
        <v>7</v>
      </c>
      <c r="D14" s="42">
        <v>54</v>
      </c>
      <c r="E14" s="28">
        <f t="shared" si="0"/>
        <v>-47</v>
      </c>
      <c r="F14" s="42">
        <v>34</v>
      </c>
      <c r="G14" s="28">
        <f t="shared" si="1"/>
        <v>-27</v>
      </c>
      <c r="H14" s="7"/>
    </row>
    <row r="15" spans="2:11" x14ac:dyDescent="0.2">
      <c r="B15" s="5" t="s">
        <v>11</v>
      </c>
      <c r="C15" s="28">
        <v>65</v>
      </c>
      <c r="D15" s="42">
        <v>47</v>
      </c>
      <c r="E15" s="28">
        <f t="shared" si="0"/>
        <v>18</v>
      </c>
      <c r="F15" s="42">
        <v>66</v>
      </c>
      <c r="G15" s="28">
        <f t="shared" si="1"/>
        <v>-1</v>
      </c>
      <c r="H15" s="7"/>
    </row>
    <row r="16" spans="2:11" x14ac:dyDescent="0.2">
      <c r="B16" s="5" t="s">
        <v>12</v>
      </c>
      <c r="C16" s="28">
        <v>37</v>
      </c>
      <c r="D16" s="42">
        <v>60</v>
      </c>
      <c r="E16" s="28">
        <f t="shared" si="0"/>
        <v>-23</v>
      </c>
      <c r="F16" s="42">
        <v>51</v>
      </c>
      <c r="G16" s="28">
        <f t="shared" si="1"/>
        <v>-14</v>
      </c>
      <c r="H16" s="7"/>
    </row>
    <row r="17" spans="2:8" x14ac:dyDescent="0.2">
      <c r="B17" s="5" t="s">
        <v>13</v>
      </c>
      <c r="C17" s="28">
        <v>12</v>
      </c>
      <c r="D17" s="42">
        <v>21</v>
      </c>
      <c r="E17" s="28">
        <f t="shared" si="0"/>
        <v>-9</v>
      </c>
      <c r="F17" s="42">
        <v>8</v>
      </c>
      <c r="G17" s="28">
        <f t="shared" si="1"/>
        <v>4</v>
      </c>
      <c r="H17" s="7"/>
    </row>
    <row r="18" spans="2:8" x14ac:dyDescent="0.2">
      <c r="B18" s="5" t="s">
        <v>14</v>
      </c>
      <c r="C18" s="28">
        <v>53</v>
      </c>
      <c r="D18" s="42">
        <v>32</v>
      </c>
      <c r="E18" s="28">
        <f t="shared" si="0"/>
        <v>21</v>
      </c>
      <c r="F18" s="42">
        <v>84</v>
      </c>
      <c r="G18" s="28">
        <f t="shared" si="1"/>
        <v>-31</v>
      </c>
      <c r="H18" s="7"/>
    </row>
    <row r="19" spans="2:8" x14ac:dyDescent="0.2">
      <c r="B19" s="5" t="s">
        <v>15</v>
      </c>
      <c r="C19" s="28">
        <v>33</v>
      </c>
      <c r="D19" s="42">
        <v>61</v>
      </c>
      <c r="E19" s="28">
        <f t="shared" si="0"/>
        <v>-28</v>
      </c>
      <c r="F19" s="42">
        <v>34</v>
      </c>
      <c r="G19" s="28">
        <f t="shared" si="1"/>
        <v>-1</v>
      </c>
      <c r="H19" s="7"/>
    </row>
    <row r="20" spans="2:8" x14ac:dyDescent="0.2">
      <c r="B20" s="5" t="s">
        <v>16</v>
      </c>
      <c r="C20" s="28">
        <v>56</v>
      </c>
      <c r="D20" s="42">
        <v>66</v>
      </c>
      <c r="E20" s="28">
        <f t="shared" si="0"/>
        <v>-10</v>
      </c>
      <c r="F20" s="42">
        <v>37</v>
      </c>
      <c r="G20" s="28">
        <f t="shared" si="1"/>
        <v>19</v>
      </c>
      <c r="H20" s="7"/>
    </row>
    <row r="21" spans="2:8" x14ac:dyDescent="0.2">
      <c r="B21" s="5" t="s">
        <v>17</v>
      </c>
      <c r="C21" s="28">
        <v>43</v>
      </c>
      <c r="D21" s="42">
        <v>43</v>
      </c>
      <c r="E21" s="28">
        <f t="shared" si="0"/>
        <v>0</v>
      </c>
      <c r="F21" s="42">
        <v>34</v>
      </c>
      <c r="G21" s="28">
        <f t="shared" si="1"/>
        <v>9</v>
      </c>
      <c r="H21" s="7"/>
    </row>
    <row r="22" spans="2:8" x14ac:dyDescent="0.2">
      <c r="B22" s="5" t="s">
        <v>18</v>
      </c>
      <c r="C22" s="28">
        <v>35</v>
      </c>
      <c r="D22" s="42">
        <v>36</v>
      </c>
      <c r="E22" s="28">
        <f t="shared" si="0"/>
        <v>-1</v>
      </c>
      <c r="F22" s="42">
        <v>34</v>
      </c>
      <c r="G22" s="28">
        <f t="shared" si="1"/>
        <v>1</v>
      </c>
      <c r="H22" s="7"/>
    </row>
    <row r="23" spans="2:8" x14ac:dyDescent="0.2">
      <c r="B23" s="5" t="s">
        <v>19</v>
      </c>
      <c r="C23" s="28">
        <v>69</v>
      </c>
      <c r="D23" s="42">
        <v>53</v>
      </c>
      <c r="E23" s="28">
        <f t="shared" si="0"/>
        <v>16</v>
      </c>
      <c r="F23" s="42">
        <v>94</v>
      </c>
      <c r="G23" s="28">
        <f t="shared" si="1"/>
        <v>-25</v>
      </c>
      <c r="H23" s="7"/>
    </row>
    <row r="24" spans="2:8" x14ac:dyDescent="0.2">
      <c r="B24" s="5" t="s">
        <v>20</v>
      </c>
      <c r="C24" s="28">
        <v>21</v>
      </c>
      <c r="D24" s="42">
        <v>8</v>
      </c>
      <c r="E24" s="28">
        <f t="shared" si="0"/>
        <v>13</v>
      </c>
      <c r="F24" s="42">
        <v>25</v>
      </c>
      <c r="G24" s="28">
        <f t="shared" si="1"/>
        <v>-4</v>
      </c>
      <c r="H24" s="7"/>
    </row>
    <row r="25" spans="2:8" x14ac:dyDescent="0.2">
      <c r="B25" s="5" t="s">
        <v>21</v>
      </c>
      <c r="C25" s="28">
        <v>20</v>
      </c>
      <c r="D25" s="42">
        <v>23</v>
      </c>
      <c r="E25" s="28">
        <f t="shared" si="0"/>
        <v>-3</v>
      </c>
      <c r="F25" s="42">
        <v>29</v>
      </c>
      <c r="G25" s="28">
        <f t="shared" si="1"/>
        <v>-9</v>
      </c>
      <c r="H25" s="7"/>
    </row>
    <row r="26" spans="2:8" x14ac:dyDescent="0.2">
      <c r="B26" s="5" t="s">
        <v>22</v>
      </c>
      <c r="C26" s="28">
        <v>42</v>
      </c>
      <c r="D26" s="42">
        <v>39</v>
      </c>
      <c r="E26" s="28">
        <f t="shared" si="0"/>
        <v>3</v>
      </c>
      <c r="F26" s="42">
        <v>36</v>
      </c>
      <c r="G26" s="28">
        <f t="shared" si="1"/>
        <v>6</v>
      </c>
      <c r="H26" s="7"/>
    </row>
    <row r="27" spans="2:8" x14ac:dyDescent="0.2">
      <c r="B27" s="5" t="s">
        <v>23</v>
      </c>
      <c r="C27" s="28">
        <v>101</v>
      </c>
      <c r="D27" s="42">
        <v>118</v>
      </c>
      <c r="E27" s="28">
        <f t="shared" si="0"/>
        <v>-17</v>
      </c>
      <c r="F27" s="42">
        <v>123</v>
      </c>
      <c r="G27" s="28">
        <f t="shared" si="1"/>
        <v>-22</v>
      </c>
      <c r="H27" s="7"/>
    </row>
    <row r="28" spans="2:8" x14ac:dyDescent="0.2">
      <c r="B28" s="5" t="s">
        <v>24</v>
      </c>
      <c r="C28" s="28">
        <v>17</v>
      </c>
      <c r="D28" s="42">
        <v>12</v>
      </c>
      <c r="E28" s="28">
        <f t="shared" si="0"/>
        <v>5</v>
      </c>
      <c r="F28" s="42">
        <v>20</v>
      </c>
      <c r="G28" s="28">
        <f t="shared" si="1"/>
        <v>-3</v>
      </c>
      <c r="H28" s="7"/>
    </row>
    <row r="29" spans="2:8" ht="15" x14ac:dyDescent="0.25">
      <c r="B29" s="39" t="s">
        <v>25</v>
      </c>
      <c r="C29" s="48">
        <f>SUM(C4:C28)</f>
        <v>993</v>
      </c>
      <c r="D29" s="44">
        <f>SUM(D4:D28)</f>
        <v>1101</v>
      </c>
      <c r="E29" s="48">
        <f>SUM(E4:E28)</f>
        <v>-108</v>
      </c>
      <c r="F29" s="44">
        <f>SUM(F4:F28)</f>
        <v>1240</v>
      </c>
      <c r="G29" s="48">
        <f>SUM(G4:G28)</f>
        <v>-247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07-'24 r.</v>
      </c>
      <c r="E3" s="36" t="str">
        <f>T('8oferty s.'!D3)</f>
        <v>liczba ofert w 06-'24 r.</v>
      </c>
      <c r="F3" s="36" t="str">
        <f>T('8oferty s.'!E3)</f>
        <v>wzrost/spadek do poprzedniego  miesiąca</v>
      </c>
      <c r="G3" s="36" t="str">
        <f>T('8oferty s.'!F3)</f>
        <v>liczba ofert w 07-'23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2</v>
      </c>
      <c r="C4" s="5" t="str">
        <f>INDEX('8oferty s.'!B4:G29,MATCH(1,B4:B29,0),1)</f>
        <v>łańcucki</v>
      </c>
      <c r="D4" s="24">
        <f>INDEX('8oferty s.'!B4:G29,MATCH(1,B4:B29,0),2)</f>
        <v>7</v>
      </c>
      <c r="E4" s="42">
        <f>INDEX('8oferty s.'!B4:G29,MATCH(1,B4:B29,0),3)</f>
        <v>54</v>
      </c>
      <c r="F4" s="6">
        <f>INDEX('8oferty s.'!B4:G29,MATCH(1,B4:B29,0),4)</f>
        <v>-47</v>
      </c>
      <c r="G4" s="42">
        <f>INDEX('8oferty s.'!B4:G29,MATCH(1,B4:B29,0),5)</f>
        <v>34</v>
      </c>
      <c r="H4" s="6">
        <f>INDEX('8oferty s.'!B4:G29,MATCH(1,B4:B29,0),6)</f>
        <v>-27</v>
      </c>
    </row>
    <row r="5" spans="2:8" x14ac:dyDescent="0.2">
      <c r="B5" s="6">
        <f>RANK('8oferty s.'!C5,'8oferty s.'!$C$4:'8oferty s.'!$C$29,1)+COUNTIF('8oferty s.'!$C$4:'8oferty s.'!C5,'8oferty s.'!C5)-1</f>
        <v>10</v>
      </c>
      <c r="C5" s="5" t="str">
        <f>INDEX('8oferty s.'!B4:G29,MATCH(2,B4:B29,0),1)</f>
        <v>bieszczadzki</v>
      </c>
      <c r="D5" s="6">
        <f>INDEX('8oferty s.'!B4:G29,MATCH(2,B4:B29,0),2)</f>
        <v>10</v>
      </c>
      <c r="E5" s="42">
        <f>INDEX('8oferty s.'!B4:G29,MATCH(2,B4:B29,0),3)</f>
        <v>50</v>
      </c>
      <c r="F5" s="6">
        <f>INDEX('8oferty s.'!B4:G29,MATCH(2,B4:B29,0),4)</f>
        <v>-40</v>
      </c>
      <c r="G5" s="42">
        <f>INDEX('8oferty s.'!B4:G29,MATCH(2,B4:B29,0),5)</f>
        <v>23</v>
      </c>
      <c r="H5" s="6">
        <f>INDEX('8oferty s.'!B4:G29,MATCH(2,B4:B29,0),6)</f>
        <v>-13</v>
      </c>
    </row>
    <row r="6" spans="2:8" x14ac:dyDescent="0.2">
      <c r="B6" s="6">
        <f>RANK('8oferty s.'!C6,'8oferty s.'!$C$4:'8oferty s.'!$C$29,1)+COUNTIF('8oferty s.'!$C$4:'8oferty s.'!C6,'8oferty s.'!C6)-1</f>
        <v>11</v>
      </c>
      <c r="C6" s="5" t="str">
        <f>INDEX('8oferty s.'!B4:G29,MATCH(3,B4:B29,0),1)</f>
        <v>leski</v>
      </c>
      <c r="D6" s="6">
        <f>INDEX('8oferty s.'!B4:G29,MATCH(3,B4:B29,0),2)</f>
        <v>12</v>
      </c>
      <c r="E6" s="42">
        <f>INDEX('8oferty s.'!B4:G29,MATCH(3,B4:B29,0),3)</f>
        <v>19</v>
      </c>
      <c r="F6" s="6">
        <f>INDEX('8oferty s.'!B4:G29,MATCH(3,B4:B29,0),4)</f>
        <v>-7</v>
      </c>
      <c r="G6" s="42">
        <f>INDEX('8oferty s.'!B4:G29,MATCH(3,B4:B29,0),5)</f>
        <v>21</v>
      </c>
      <c r="H6" s="6">
        <f>INDEX('8oferty s.'!B4:G29,MATCH(3,B4:B29,0),6)</f>
        <v>-9</v>
      </c>
    </row>
    <row r="7" spans="2:8" x14ac:dyDescent="0.2">
      <c r="B7" s="6">
        <f>RANK('8oferty s.'!C7,'8oferty s.'!$C$4:'8oferty s.'!$C$29,1)+COUNTIF('8oferty s.'!$C$4:'8oferty s.'!C7,'8oferty s.'!C7)-1</f>
        <v>25</v>
      </c>
      <c r="C7" s="5" t="str">
        <f>INDEX('8oferty s.'!B4:G29,MATCH(4,B4:B29,0),1)</f>
        <v>przemyski</v>
      </c>
      <c r="D7" s="6">
        <f>INDEX('8oferty s.'!B4:G29,MATCH(4,B4:B29,0),2)</f>
        <v>12</v>
      </c>
      <c r="E7" s="42">
        <f>INDEX('8oferty s.'!B4:G29,MATCH(4,B4:B29,0),3)</f>
        <v>21</v>
      </c>
      <c r="F7" s="6">
        <f>INDEX('8oferty s.'!B4:G29,MATCH(4,B4:B29,0),4)</f>
        <v>-9</v>
      </c>
      <c r="G7" s="42">
        <f>INDEX('8oferty s.'!B4:G29,MATCH(4,B4:B29,0),5)</f>
        <v>8</v>
      </c>
      <c r="H7" s="6">
        <f>INDEX('8oferty s.'!B4:G29,MATCH(4,B4:B29,0),6)</f>
        <v>4</v>
      </c>
    </row>
    <row r="8" spans="2:8" x14ac:dyDescent="0.2">
      <c r="B8" s="6">
        <f>RANK('8oferty s.'!C8,'8oferty s.'!$C$4:'8oferty s.'!$C$29,1)+COUNTIF('8oferty s.'!$C$4:'8oferty s.'!C8,'8oferty s.'!C8)-1</f>
        <v>21</v>
      </c>
      <c r="C8" s="5" t="str">
        <f>INDEX('8oferty s.'!B4:G29,MATCH(5,B4:B29,0),1)</f>
        <v>Tarnobrzeg</v>
      </c>
      <c r="D8" s="6">
        <f>INDEX('8oferty s.'!B4:G29,MATCH(5,B4:B29,0),2)</f>
        <v>17</v>
      </c>
      <c r="E8" s="42">
        <f>INDEX('8oferty s.'!B4:G29,MATCH(5,B4:B29,0),3)</f>
        <v>12</v>
      </c>
      <c r="F8" s="6">
        <f>INDEX('8oferty s.'!B4:G29,MATCH(5,B4:B29,0),4)</f>
        <v>5</v>
      </c>
      <c r="G8" s="42">
        <f>INDEX('8oferty s.'!B4:G29,MATCH(5,B4:B29,0),5)</f>
        <v>20</v>
      </c>
      <c r="H8" s="6">
        <f>INDEX('8oferty s.'!B4:G29,MATCH(5,B4:B29,0),6)</f>
        <v>-3</v>
      </c>
    </row>
    <row r="9" spans="2:8" x14ac:dyDescent="0.2">
      <c r="B9" s="6">
        <f>RANK('8oferty s.'!C9,'8oferty s.'!$C$4:'8oferty s.'!$C$29,1)+COUNTIF('8oferty s.'!$C$4:'8oferty s.'!C9,'8oferty s.'!C9)-1</f>
        <v>15</v>
      </c>
      <c r="C9" s="5" t="str">
        <f>INDEX('8oferty s.'!B4:G29,MATCH(6,B4:B29,0),1)</f>
        <v>leżajski</v>
      </c>
      <c r="D9" s="6">
        <f>INDEX('8oferty s.'!B4:G29,MATCH(6,B4:B29,0),2)</f>
        <v>20</v>
      </c>
      <c r="E9" s="42">
        <f>INDEX('8oferty s.'!B4:G29,MATCH(6,B4:B29,0),3)</f>
        <v>51</v>
      </c>
      <c r="F9" s="6">
        <f>INDEX('8oferty s.'!B4:G29,MATCH(6,B4:B29,0),4)</f>
        <v>-31</v>
      </c>
      <c r="G9" s="42">
        <f>INDEX('8oferty s.'!B4:G29,MATCH(6,B4:B29,0),5)</f>
        <v>42</v>
      </c>
      <c r="H9" s="6">
        <f>INDEX('8oferty s.'!B4:G29,MATCH(6,B4:B29,0),6)</f>
        <v>-22</v>
      </c>
    </row>
    <row r="10" spans="2:8" x14ac:dyDescent="0.2">
      <c r="B10" s="6">
        <f>RANK('8oferty s.'!C10,'8oferty s.'!$C$4:'8oferty s.'!$C$29,1)+COUNTIF('8oferty s.'!$C$4:'8oferty s.'!C10,'8oferty s.'!C10)-1</f>
        <v>9</v>
      </c>
      <c r="C10" s="9" t="str">
        <f>INDEX('8oferty s.'!B4:G29,MATCH(7,B4:B29,0),1)</f>
        <v>Krosno</v>
      </c>
      <c r="D10" s="6">
        <f>INDEX('8oferty s.'!B4:G29,MATCH(7,B4:B29,0),2)</f>
        <v>20</v>
      </c>
      <c r="E10" s="42">
        <f>INDEX('8oferty s.'!B4:G29,MATCH(7,B4:B29,0),3)</f>
        <v>23</v>
      </c>
      <c r="F10" s="6">
        <f>INDEX('8oferty s.'!B4:G29,MATCH(7,B4:B29,0),4)</f>
        <v>-3</v>
      </c>
      <c r="G10" s="42">
        <f>INDEX('8oferty s.'!B4:G29,MATCH(7,B4:B29,0),5)</f>
        <v>29</v>
      </c>
      <c r="H10" s="6">
        <f>INDEX('8oferty s.'!B4:G29,MATCH(7,B4:B29,0),6)</f>
        <v>-9</v>
      </c>
    </row>
    <row r="11" spans="2:8" x14ac:dyDescent="0.2">
      <c r="B11" s="6">
        <f>RANK('8oferty s.'!C11,'8oferty s.'!$C$4:'8oferty s.'!$C$29,1)+COUNTIF('8oferty s.'!$C$4:'8oferty s.'!C11,'8oferty s.'!C11)-1</f>
        <v>3</v>
      </c>
      <c r="C11" s="5" t="str">
        <f>INDEX('8oferty s.'!B4:G29,MATCH(8,B4:B29,0),1)</f>
        <v xml:space="preserve">tarnobrzeski </v>
      </c>
      <c r="D11" s="6">
        <f>INDEX('8oferty s.'!B4:G29,MATCH(8,B4:B29,0),2)</f>
        <v>21</v>
      </c>
      <c r="E11" s="42">
        <f>INDEX('8oferty s.'!B4:G29,MATCH(8,B4:B29,0),3)</f>
        <v>8</v>
      </c>
      <c r="F11" s="6">
        <f>INDEX('8oferty s.'!B4:G29,MATCH(8,B4:B29,0),4)</f>
        <v>13</v>
      </c>
      <c r="G11" s="42">
        <f>INDEX('8oferty s.'!B4:G29,MATCH(8,B4:B29,0),5)</f>
        <v>25</v>
      </c>
      <c r="H11" s="6">
        <f>INDEX('8oferty s.'!B4:G29,MATCH(8,B4:B29,0),6)</f>
        <v>-4</v>
      </c>
    </row>
    <row r="12" spans="2:8" x14ac:dyDescent="0.2">
      <c r="B12" s="6">
        <f>RANK('8oferty s.'!C12,'8oferty s.'!$C$4:'8oferty s.'!$C$29,1)+COUNTIF('8oferty s.'!$C$4:'8oferty s.'!C12,'8oferty s.'!C12)-1</f>
        <v>6</v>
      </c>
      <c r="C12" s="5" t="str">
        <f>INDEX('8oferty s.'!B4:G29,MATCH(9,B4:B29,0),1)</f>
        <v>krośnieński</v>
      </c>
      <c r="D12" s="6">
        <f>INDEX('8oferty s.'!B4:G29,MATCH(9,B4:B29,0),2)</f>
        <v>23</v>
      </c>
      <c r="E12" s="42">
        <f>INDEX('8oferty s.'!B4:G29,MATCH(9,B4:B29,0),3)</f>
        <v>28</v>
      </c>
      <c r="F12" s="6">
        <f>INDEX('8oferty s.'!B4:G29,MATCH(9,B4:B29,0),4)</f>
        <v>-5</v>
      </c>
      <c r="G12" s="42">
        <f>INDEX('8oferty s.'!B4:G29,MATCH(9,B4:B29,0),5)</f>
        <v>31</v>
      </c>
      <c r="H12" s="6">
        <f>INDEX('8oferty s.'!B4:G29,MATCH(9,B4:B29,0),6)</f>
        <v>-8</v>
      </c>
    </row>
    <row r="13" spans="2:8" x14ac:dyDescent="0.2">
      <c r="B13" s="6">
        <f>RANK('8oferty s.'!C13,'8oferty s.'!$C$4:'8oferty s.'!$C$29,1)+COUNTIF('8oferty s.'!$C$4:'8oferty s.'!C13,'8oferty s.'!C13)-1</f>
        <v>17</v>
      </c>
      <c r="C13" s="5" t="str">
        <f>INDEX('8oferty s.'!B4:G29,MATCH(10,B4:B29,0),1)</f>
        <v>brzozowski</v>
      </c>
      <c r="D13" s="6">
        <f>INDEX('8oferty s.'!B4:G29,MATCH(10,B4:B29,0),2)</f>
        <v>31</v>
      </c>
      <c r="E13" s="42">
        <f>INDEX('8oferty s.'!B4:G29,MATCH(10,B4:B29,0),3)</f>
        <v>61</v>
      </c>
      <c r="F13" s="6">
        <f>INDEX('8oferty s.'!B4:G29,MATCH(10,B4:B29,0),4)</f>
        <v>-30</v>
      </c>
      <c r="G13" s="42">
        <f>INDEX('8oferty s.'!B4:G29,MATCH(10,B4:B29,0),5)</f>
        <v>52</v>
      </c>
      <c r="H13" s="6">
        <f>INDEX('8oferty s.'!B4:G29,MATCH(10,B4:B29,0),6)</f>
        <v>-21</v>
      </c>
    </row>
    <row r="14" spans="2:8" x14ac:dyDescent="0.2">
      <c r="B14" s="6">
        <f>RANK('8oferty s.'!C14,'8oferty s.'!$C$4:'8oferty s.'!$C$29,1)+COUNTIF('8oferty s.'!$C$4:'8oferty s.'!C14,'8oferty s.'!C14)-1</f>
        <v>1</v>
      </c>
      <c r="C14" s="5" t="str">
        <f>INDEX('8oferty s.'!B4:G29,MATCH(11,B4:B29,0),1)</f>
        <v>dębicki</v>
      </c>
      <c r="D14" s="6">
        <f>INDEX('8oferty s.'!B4:G29,MATCH(11,B4:B29,0),2)</f>
        <v>33</v>
      </c>
      <c r="E14" s="42">
        <f>INDEX('8oferty s.'!B4:G29,MATCH(11,B4:B29,0),3)</f>
        <v>53</v>
      </c>
      <c r="F14" s="6">
        <f>INDEX('8oferty s.'!B4:G29,MATCH(11,B4:B29,0),4)</f>
        <v>-20</v>
      </c>
      <c r="G14" s="42">
        <f>INDEX('8oferty s.'!B4:G29,MATCH(11,B4:B29,0),5)</f>
        <v>61</v>
      </c>
      <c r="H14" s="6">
        <f>INDEX('8oferty s.'!B4:G29,MATCH(11,B4:B29,0),6)</f>
        <v>-28</v>
      </c>
    </row>
    <row r="15" spans="2:8" x14ac:dyDescent="0.2">
      <c r="B15" s="6">
        <f>RANK('8oferty s.'!C15,'8oferty s.'!$C$4:'8oferty s.'!$C$29,1)+COUNTIF('8oferty s.'!$C$4:'8oferty s.'!C15,'8oferty s.'!C15)-1</f>
        <v>22</v>
      </c>
      <c r="C15" s="5" t="str">
        <f>INDEX('8oferty s.'!B4:G29,MATCH(12,B4:B29,0),1)</f>
        <v>ropczycko-sędziszowski</v>
      </c>
      <c r="D15" s="6">
        <f>INDEX('8oferty s.'!B4:G29,MATCH(12,B4:B29,0),2)</f>
        <v>33</v>
      </c>
      <c r="E15" s="42">
        <f>INDEX('8oferty s.'!B4:G29,MATCH(12,B4:B29,0),3)</f>
        <v>61</v>
      </c>
      <c r="F15" s="6">
        <f>INDEX('8oferty s.'!B4:G29,MATCH(12,B4:B29,0),4)</f>
        <v>-28</v>
      </c>
      <c r="G15" s="42">
        <f>INDEX('8oferty s.'!B4:G29,MATCH(12,B4:B29,0),5)</f>
        <v>34</v>
      </c>
      <c r="H15" s="6">
        <f>INDEX('8oferty s.'!B4:G29,MATCH(12,B4:B29,0),6)</f>
        <v>-1</v>
      </c>
    </row>
    <row r="16" spans="2:8" x14ac:dyDescent="0.2">
      <c r="B16" s="6">
        <f>RANK('8oferty s.'!C16,'8oferty s.'!$C$4:'8oferty s.'!$C$29,1)+COUNTIF('8oferty s.'!$C$4:'8oferty s.'!C16,'8oferty s.'!C16)-1</f>
        <v>14</v>
      </c>
      <c r="C16" s="5" t="str">
        <f>INDEX('8oferty s.'!B4:G29,MATCH(13,B4:B29,0),1)</f>
        <v>stalowowolski</v>
      </c>
      <c r="D16" s="6">
        <f>INDEX('8oferty s.'!B4:G29,MATCH(13,B4:B29,0),2)</f>
        <v>35</v>
      </c>
      <c r="E16" s="42">
        <f>INDEX('8oferty s.'!B4:G29,MATCH(13,B4:B29,0),3)</f>
        <v>36</v>
      </c>
      <c r="F16" s="6">
        <f>INDEX('8oferty s.'!B4:G29,MATCH(13,B4:B29,0),4)</f>
        <v>-1</v>
      </c>
      <c r="G16" s="42">
        <f>INDEX('8oferty s.'!B4:G29,MATCH(13,B4:B29,0),5)</f>
        <v>34</v>
      </c>
      <c r="H16" s="6">
        <f>INDEX('8oferty s.'!B4:G29,MATCH(13,B4:B29,0),6)</f>
        <v>1</v>
      </c>
    </row>
    <row r="17" spans="2:8" x14ac:dyDescent="0.2">
      <c r="B17" s="6">
        <f>RANK('8oferty s.'!C17,'8oferty s.'!$C$4:'8oferty s.'!$C$29,1)+COUNTIF('8oferty s.'!$C$4:'8oferty s.'!C17,'8oferty s.'!C17)-1</f>
        <v>4</v>
      </c>
      <c r="C17" s="5" t="str">
        <f>INDEX('8oferty s.'!B4:G29,MATCH(14,B4:B29,0),1)</f>
        <v>niżański</v>
      </c>
      <c r="D17" s="6">
        <f>INDEX('8oferty s.'!B4:G29,MATCH(14,B4:B29,0),2)</f>
        <v>37</v>
      </c>
      <c r="E17" s="42">
        <f>INDEX('8oferty s.'!B4:G29,MATCH(14,B4:B29,0),3)</f>
        <v>60</v>
      </c>
      <c r="F17" s="6">
        <f>INDEX('8oferty s.'!B4:G29,MATCH(14,B4:B29,0),4)</f>
        <v>-23</v>
      </c>
      <c r="G17" s="42">
        <f>INDEX('8oferty s.'!B4:G29,MATCH(14,B4:B29,0),5)</f>
        <v>51</v>
      </c>
      <c r="H17" s="6">
        <f>INDEX('8oferty s.'!B4:G29,MATCH(14,B4:B29,0),6)</f>
        <v>-14</v>
      </c>
    </row>
    <row r="18" spans="2:8" x14ac:dyDescent="0.2">
      <c r="B18" s="6">
        <f>RANK('8oferty s.'!C18,'8oferty s.'!$C$4:'8oferty s.'!$C$29,1)+COUNTIF('8oferty s.'!$C$4:'8oferty s.'!C18,'8oferty s.'!C18)-1</f>
        <v>19</v>
      </c>
      <c r="C18" s="5" t="str">
        <f>INDEX('8oferty s.'!B4:G29,MATCH(15,B4:B29,0),1)</f>
        <v>kolbuszowski</v>
      </c>
      <c r="D18" s="6">
        <f>INDEX('8oferty s.'!B4:G29,MATCH(15,B4:B29,0),2)</f>
        <v>42</v>
      </c>
      <c r="E18" s="42">
        <f>INDEX('8oferty s.'!B4:G29,MATCH(15,B4:B29,0),3)</f>
        <v>28</v>
      </c>
      <c r="F18" s="6">
        <f>INDEX('8oferty s.'!B4:G29,MATCH(15,B4:B29,0),4)</f>
        <v>14</v>
      </c>
      <c r="G18" s="42">
        <f>INDEX('8oferty s.'!B4:G29,MATCH(15,B4:B29,0),5)</f>
        <v>59</v>
      </c>
      <c r="H18" s="6">
        <f>INDEX('8oferty s.'!B4:G29,MATCH(15,B4:B29,0),6)</f>
        <v>-17</v>
      </c>
    </row>
    <row r="19" spans="2:8" x14ac:dyDescent="0.2">
      <c r="B19" s="6">
        <f>RANK('8oferty s.'!C19,'8oferty s.'!$C$4:'8oferty s.'!$C$29,1)+COUNTIF('8oferty s.'!$C$4:'8oferty s.'!C19,'8oferty s.'!C19)-1</f>
        <v>12</v>
      </c>
      <c r="C19" s="5" t="str">
        <f>INDEX('8oferty s.'!B4:G29,MATCH(16,B4:B29,0),1)</f>
        <v>Przemyśl</v>
      </c>
      <c r="D19" s="6">
        <f>INDEX('8oferty s.'!B4:G29,MATCH(16,B4:B29,0),2)</f>
        <v>42</v>
      </c>
      <c r="E19" s="42">
        <f>INDEX('8oferty s.'!B4:G29,MATCH(16,B4:B29,0),3)</f>
        <v>39</v>
      </c>
      <c r="F19" s="6">
        <f>INDEX('8oferty s.'!B4:G29,MATCH(16,B4:B29,0),4)</f>
        <v>3</v>
      </c>
      <c r="G19" s="42">
        <f>INDEX('8oferty s.'!B4:G29,MATCH(16,B4:B29,0),5)</f>
        <v>36</v>
      </c>
      <c r="H19" s="6">
        <f>INDEX('8oferty s.'!B4:G29,MATCH(16,B4:B29,0),6)</f>
        <v>6</v>
      </c>
    </row>
    <row r="20" spans="2:8" x14ac:dyDescent="0.2">
      <c r="B20" s="6">
        <f>RANK('8oferty s.'!C20,'8oferty s.'!$C$4:'8oferty s.'!$C$29,1)+COUNTIF('8oferty s.'!$C$4:'8oferty s.'!C20,'8oferty s.'!C20)-1</f>
        <v>20</v>
      </c>
      <c r="C20" s="5" t="str">
        <f>INDEX('8oferty s.'!B4:G29,MATCH(17,B4:B29,0),1)</f>
        <v>lubaczowski</v>
      </c>
      <c r="D20" s="6">
        <f>INDEX('8oferty s.'!B4:G29,MATCH(17,B4:B29,0),2)</f>
        <v>43</v>
      </c>
      <c r="E20" s="42">
        <f>INDEX('8oferty s.'!B4:G29,MATCH(17,B4:B29,0),3)</f>
        <v>43</v>
      </c>
      <c r="F20" s="6">
        <f>INDEX('8oferty s.'!B4:G29,MATCH(17,B4:B29,0),4)</f>
        <v>0</v>
      </c>
      <c r="G20" s="42">
        <f>INDEX('8oferty s.'!B4:G29,MATCH(17,B4:B29,0),5)</f>
        <v>44</v>
      </c>
      <c r="H20" s="6">
        <f>INDEX('8oferty s.'!B4:G29,MATCH(17,B4:B29,0),6)</f>
        <v>-1</v>
      </c>
    </row>
    <row r="21" spans="2:8" x14ac:dyDescent="0.2">
      <c r="B21" s="6">
        <f>RANK('8oferty s.'!C21,'8oferty s.'!$C$4:'8oferty s.'!$C$29,1)+COUNTIF('8oferty s.'!$C$4:'8oferty s.'!C21,'8oferty s.'!C21)-1</f>
        <v>18</v>
      </c>
      <c r="C21" s="5" t="str">
        <f>INDEX('8oferty s.'!B4:G29,MATCH(18,B4:B29,0),1)</f>
        <v>sanocki</v>
      </c>
      <c r="D21" s="6">
        <f>INDEX('8oferty s.'!B4:G29,MATCH(18,B4:B29,0),2)</f>
        <v>43</v>
      </c>
      <c r="E21" s="42">
        <f>INDEX('8oferty s.'!B4:G29,MATCH(18,B4:B29,0),3)</f>
        <v>43</v>
      </c>
      <c r="F21" s="6">
        <f>INDEX('8oferty s.'!B4:G29,MATCH(18,B4:B29,0),4)</f>
        <v>0</v>
      </c>
      <c r="G21" s="42">
        <f>INDEX('8oferty s.'!B4:G29,MATCH(18,B4:B29,0),5)</f>
        <v>34</v>
      </c>
      <c r="H21" s="6">
        <f>INDEX('8oferty s.'!B4:G29,MATCH(18,B4:B29,0),6)</f>
        <v>9</v>
      </c>
    </row>
    <row r="22" spans="2:8" x14ac:dyDescent="0.2">
      <c r="B22" s="6">
        <f>RANK('8oferty s.'!C22,'8oferty s.'!$C$4:'8oferty s.'!$C$29,1)+COUNTIF('8oferty s.'!$C$4:'8oferty s.'!C22,'8oferty s.'!C22)-1</f>
        <v>13</v>
      </c>
      <c r="C22" s="5" t="str">
        <f>INDEX('8oferty s.'!B4:G29,MATCH(19,B4:B29,0),1)</f>
        <v>przeworski</v>
      </c>
      <c r="D22" s="6">
        <f>INDEX('8oferty s.'!B4:G29,MATCH(19,B4:B29,0),2)</f>
        <v>53</v>
      </c>
      <c r="E22" s="42">
        <f>INDEX('8oferty s.'!B4:G29,MATCH(19,B4:B29,0),3)</f>
        <v>32</v>
      </c>
      <c r="F22" s="6">
        <f>INDEX('8oferty s.'!B4:G29,MATCH(19,B4:B29,0),4)</f>
        <v>21</v>
      </c>
      <c r="G22" s="42">
        <f>INDEX('8oferty s.'!B4:G29,MATCH(19,B4:B29,0),5)</f>
        <v>84</v>
      </c>
      <c r="H22" s="6">
        <f>INDEX('8oferty s.'!B4:G29,MATCH(19,B4:B29,0),6)</f>
        <v>-31</v>
      </c>
    </row>
    <row r="23" spans="2:8" x14ac:dyDescent="0.2">
      <c r="B23" s="6">
        <f>RANK('8oferty s.'!C23,'8oferty s.'!$C$4:'8oferty s.'!$C$29,1)+COUNTIF('8oferty s.'!$C$4:'8oferty s.'!C23,'8oferty s.'!C23)-1</f>
        <v>23</v>
      </c>
      <c r="C23" s="5" t="str">
        <f>INDEX('8oferty s.'!B4:G29,MATCH(20,B4:B29,0),1)</f>
        <v>rzeszowski</v>
      </c>
      <c r="D23" s="6">
        <f>INDEX('8oferty s.'!B4:G29,MATCH(20,B4:B29,0),2)</f>
        <v>56</v>
      </c>
      <c r="E23" s="42">
        <f>INDEX('8oferty s.'!B4:G29,MATCH(20,B4:B29,0),3)</f>
        <v>66</v>
      </c>
      <c r="F23" s="6">
        <f>INDEX('8oferty s.'!B4:G29,MATCH(20,B4:B29,0),4)</f>
        <v>-10</v>
      </c>
      <c r="G23" s="42">
        <f>INDEX('8oferty s.'!B4:G29,MATCH(20,B4:B29,0),5)</f>
        <v>37</v>
      </c>
      <c r="H23" s="6">
        <f>INDEX('8oferty s.'!B4:G29,MATCH(20,B4:B29,0),6)</f>
        <v>19</v>
      </c>
    </row>
    <row r="24" spans="2:8" x14ac:dyDescent="0.2">
      <c r="B24" s="6">
        <f>RANK('8oferty s.'!C24,'8oferty s.'!$C$4:'8oferty s.'!$C$29,1)+COUNTIF('8oferty s.'!$C$4:'8oferty s.'!C24,'8oferty s.'!C24)-1</f>
        <v>8</v>
      </c>
      <c r="C24" s="5" t="str">
        <f>INDEX('8oferty s.'!B4:G29,MATCH(21,B4:B29,0),1)</f>
        <v>jasielski</v>
      </c>
      <c r="D24" s="6">
        <f>INDEX('8oferty s.'!B4:G29,MATCH(21,B4:B29,0),2)</f>
        <v>58</v>
      </c>
      <c r="E24" s="42">
        <f>INDEX('8oferty s.'!B4:G29,MATCH(21,B4:B29,0),3)</f>
        <v>72</v>
      </c>
      <c r="F24" s="6">
        <f>INDEX('8oferty s.'!B4:G29,MATCH(21,B4:B29,0),4)</f>
        <v>-14</v>
      </c>
      <c r="G24" s="42">
        <f>INDEX('8oferty s.'!B4:G29,MATCH(21,B4:B29,0),5)</f>
        <v>109</v>
      </c>
      <c r="H24" s="6">
        <f>INDEX('8oferty s.'!B4:G29,MATCH(21,B4:B29,0),6)</f>
        <v>-51</v>
      </c>
    </row>
    <row r="25" spans="2:8" x14ac:dyDescent="0.2">
      <c r="B25" s="6">
        <f>RANK('8oferty s.'!C25,'8oferty s.'!$C$4:'8oferty s.'!$C$29,1)+COUNTIF('8oferty s.'!$C$4:'8oferty s.'!C25,'8oferty s.'!C25)-1</f>
        <v>7</v>
      </c>
      <c r="C25" s="5" t="str">
        <f>INDEX('8oferty s.'!B4:G29,MATCH(22,B4:B29,0),1)</f>
        <v>mielecki</v>
      </c>
      <c r="D25" s="6">
        <f>INDEX('8oferty s.'!B4:G29,MATCH(22,B4:B29,0),2)</f>
        <v>65</v>
      </c>
      <c r="E25" s="42">
        <f>INDEX('8oferty s.'!B4:G29,MATCH(22,B4:B29,0),3)</f>
        <v>47</v>
      </c>
      <c r="F25" s="6">
        <f>INDEX('8oferty s.'!B4:G29,MATCH(22,B4:B29,0),4)</f>
        <v>18</v>
      </c>
      <c r="G25" s="42">
        <f>INDEX('8oferty s.'!B4:G29,MATCH(22,B4:B29,0),5)</f>
        <v>66</v>
      </c>
      <c r="H25" s="6">
        <f>INDEX('8oferty s.'!B4:G29,MATCH(22,B4:B29,0),6)</f>
        <v>-1</v>
      </c>
    </row>
    <row r="26" spans="2:8" x14ac:dyDescent="0.2">
      <c r="B26" s="6">
        <f>RANK('8oferty s.'!C26,'8oferty s.'!$C$4:'8oferty s.'!$C$29,1)+COUNTIF('8oferty s.'!$C$4:'8oferty s.'!C26,'8oferty s.'!C26)-1</f>
        <v>16</v>
      </c>
      <c r="C26" s="5" t="str">
        <f>INDEX('8oferty s.'!B4:G29,MATCH(23,B4:B29,0),1)</f>
        <v>strzyżowski</v>
      </c>
      <c r="D26" s="6">
        <f>INDEX('8oferty s.'!B4:G29,MATCH(23,B4:B29,0),2)</f>
        <v>69</v>
      </c>
      <c r="E26" s="42">
        <f>INDEX('8oferty s.'!B4:G29,MATCH(23,B4:B29,0),3)</f>
        <v>53</v>
      </c>
      <c r="F26" s="6">
        <f>INDEX('8oferty s.'!B4:G29,MATCH(23,B4:B29,0),4)</f>
        <v>16</v>
      </c>
      <c r="G26" s="42">
        <f>INDEX('8oferty s.'!B4:G29,MATCH(23,B4:B29,0),5)</f>
        <v>94</v>
      </c>
      <c r="H26" s="6">
        <f>INDEX('8oferty s.'!B4:G29,MATCH(23,B4:B29,0),6)</f>
        <v>-25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101</v>
      </c>
      <c r="E27" s="42">
        <f>INDEX('8oferty s.'!B4:G29,MATCH(24,B4:B29,0),3)</f>
        <v>118</v>
      </c>
      <c r="F27" s="6">
        <f>INDEX('8oferty s.'!B4:G29,MATCH(24,B4:B29,0),4)</f>
        <v>-17</v>
      </c>
      <c r="G27" s="42">
        <f>INDEX('8oferty s.'!B4:G29,MATCH(24,B4:B29,0),5)</f>
        <v>123</v>
      </c>
      <c r="H27" s="6">
        <f>INDEX('8oferty s.'!B4:G29,MATCH(24,B4:B29,0),6)</f>
        <v>-22</v>
      </c>
    </row>
    <row r="28" spans="2:8" x14ac:dyDescent="0.2">
      <c r="B28" s="6">
        <f>RANK('8oferty s.'!C28,'8oferty s.'!$C$4:'8oferty s.'!$C$29,1)+COUNTIF('8oferty s.'!$C$4:'8oferty s.'!C28,'8oferty s.'!C28)-1</f>
        <v>5</v>
      </c>
      <c r="C28" s="5" t="str">
        <f>INDEX('8oferty s.'!B4:G29,MATCH(25,B4:B29,0),1)</f>
        <v>jarosławski</v>
      </c>
      <c r="D28" s="6">
        <f>INDEX('8oferty s.'!B4:G29,MATCH(25,B4:B29,0),2)</f>
        <v>110</v>
      </c>
      <c r="E28" s="42">
        <f>INDEX('8oferty s.'!B4:G29,MATCH(25,B4:B29,0),3)</f>
        <v>23</v>
      </c>
      <c r="F28" s="6">
        <f>INDEX('8oferty s.'!B4:G29,MATCH(25,B4:B29,0),4)</f>
        <v>87</v>
      </c>
      <c r="G28" s="42">
        <f>INDEX('8oferty s.'!B4:G29,MATCH(25,B4:B29,0),5)</f>
        <v>89</v>
      </c>
      <c r="H28" s="6">
        <f>INDEX('8oferty s.'!B4:G29,MATCH(25,B4:B29,0),6)</f>
        <v>21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993</v>
      </c>
      <c r="E29" s="44">
        <f>INDEX('8oferty s.'!B4:G29,MATCH(26,B4:B29,0),3)</f>
        <v>1101</v>
      </c>
      <c r="F29" s="40">
        <f>INDEX('8oferty s.'!B4:G29,MATCH(26,B4:B29,0),4)</f>
        <v>-108</v>
      </c>
      <c r="G29" s="44">
        <f>INDEX('8oferty s.'!B4:G29,MATCH(26,B4:B29,0),5)</f>
        <v>1240</v>
      </c>
      <c r="H29" s="40">
        <f>INDEX('8oferty s.'!B4:G29,MATCH(26,B4:B29,0),6)</f>
        <v>-247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71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72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24</v>
      </c>
      <c r="D4" s="42">
        <v>31</v>
      </c>
      <c r="E4" s="28">
        <f t="shared" ref="E4:E28" si="0">SUM(C4)-D4</f>
        <v>-7</v>
      </c>
      <c r="F4" s="42">
        <v>28</v>
      </c>
      <c r="G4" s="28">
        <f t="shared" ref="G4:G28" si="1">SUM(C4)-F4</f>
        <v>-4</v>
      </c>
      <c r="H4" s="7"/>
    </row>
    <row r="5" spans="2:11" x14ac:dyDescent="0.2">
      <c r="B5" s="5" t="s">
        <v>1</v>
      </c>
      <c r="C5" s="28">
        <v>8</v>
      </c>
      <c r="D5" s="42">
        <v>17</v>
      </c>
      <c r="E5" s="28">
        <f t="shared" si="0"/>
        <v>-9</v>
      </c>
      <c r="F5" s="42">
        <v>4</v>
      </c>
      <c r="G5" s="28">
        <f t="shared" si="1"/>
        <v>4</v>
      </c>
      <c r="H5" s="7"/>
    </row>
    <row r="6" spans="2:11" x14ac:dyDescent="0.2">
      <c r="B6" s="5" t="s">
        <v>2</v>
      </c>
      <c r="C6" s="28">
        <v>140</v>
      </c>
      <c r="D6" s="42">
        <v>164</v>
      </c>
      <c r="E6" s="28">
        <f t="shared" si="0"/>
        <v>-24</v>
      </c>
      <c r="F6" s="42">
        <v>117</v>
      </c>
      <c r="G6" s="28">
        <f t="shared" si="1"/>
        <v>23</v>
      </c>
      <c r="H6" s="7"/>
    </row>
    <row r="7" spans="2:11" x14ac:dyDescent="0.2">
      <c r="B7" s="5" t="s">
        <v>3</v>
      </c>
      <c r="C7" s="28">
        <v>98</v>
      </c>
      <c r="D7" s="42">
        <v>102</v>
      </c>
      <c r="E7" s="28">
        <f t="shared" si="0"/>
        <v>-4</v>
      </c>
      <c r="F7" s="42">
        <v>124</v>
      </c>
      <c r="G7" s="28">
        <f t="shared" si="1"/>
        <v>-26</v>
      </c>
      <c r="H7" s="7"/>
    </row>
    <row r="8" spans="2:11" x14ac:dyDescent="0.2">
      <c r="B8" s="5" t="s">
        <v>4</v>
      </c>
      <c r="C8" s="28">
        <v>164</v>
      </c>
      <c r="D8" s="42">
        <v>48</v>
      </c>
      <c r="E8" s="28">
        <f t="shared" si="0"/>
        <v>116</v>
      </c>
      <c r="F8" s="42">
        <v>155</v>
      </c>
      <c r="G8" s="28">
        <f t="shared" si="1"/>
        <v>9</v>
      </c>
      <c r="H8" s="7"/>
    </row>
    <row r="9" spans="2:11" x14ac:dyDescent="0.2">
      <c r="B9" s="5" t="s">
        <v>5</v>
      </c>
      <c r="C9" s="28">
        <v>79</v>
      </c>
      <c r="D9" s="42">
        <v>63</v>
      </c>
      <c r="E9" s="28">
        <f t="shared" si="0"/>
        <v>16</v>
      </c>
      <c r="F9" s="42">
        <v>52</v>
      </c>
      <c r="G9" s="28">
        <f t="shared" si="1"/>
        <v>27</v>
      </c>
      <c r="H9" s="7"/>
    </row>
    <row r="10" spans="2:11" x14ac:dyDescent="0.2">
      <c r="B10" s="9" t="s">
        <v>6</v>
      </c>
      <c r="C10" s="28">
        <v>91</v>
      </c>
      <c r="D10" s="42">
        <v>105</v>
      </c>
      <c r="E10" s="28">
        <f t="shared" si="0"/>
        <v>-14</v>
      </c>
      <c r="F10" s="42">
        <v>53</v>
      </c>
      <c r="G10" s="28">
        <f t="shared" si="1"/>
        <v>38</v>
      </c>
      <c r="H10" s="7"/>
    </row>
    <row r="11" spans="2:11" x14ac:dyDescent="0.2">
      <c r="B11" s="5" t="s">
        <v>7</v>
      </c>
      <c r="C11" s="28">
        <v>36</v>
      </c>
      <c r="D11" s="42">
        <v>37</v>
      </c>
      <c r="E11" s="28">
        <f t="shared" si="0"/>
        <v>-1</v>
      </c>
      <c r="F11" s="42">
        <v>13</v>
      </c>
      <c r="G11" s="28">
        <f t="shared" si="1"/>
        <v>23</v>
      </c>
      <c r="H11" s="7"/>
    </row>
    <row r="12" spans="2:11" x14ac:dyDescent="0.2">
      <c r="B12" s="5" t="s">
        <v>8</v>
      </c>
      <c r="C12" s="28">
        <v>54</v>
      </c>
      <c r="D12" s="42">
        <v>48</v>
      </c>
      <c r="E12" s="28">
        <f t="shared" si="0"/>
        <v>6</v>
      </c>
      <c r="F12" s="42">
        <v>62</v>
      </c>
      <c r="G12" s="28">
        <f t="shared" si="1"/>
        <v>-8</v>
      </c>
      <c r="H12" s="7"/>
    </row>
    <row r="13" spans="2:11" x14ac:dyDescent="0.2">
      <c r="B13" s="5" t="s">
        <v>9</v>
      </c>
      <c r="C13" s="28">
        <v>41</v>
      </c>
      <c r="D13" s="42">
        <v>47</v>
      </c>
      <c r="E13" s="28">
        <f t="shared" si="0"/>
        <v>-6</v>
      </c>
      <c r="F13" s="42">
        <v>79</v>
      </c>
      <c r="G13" s="28">
        <f t="shared" si="1"/>
        <v>-38</v>
      </c>
      <c r="H13" s="7"/>
    </row>
    <row r="14" spans="2:11" x14ac:dyDescent="0.2">
      <c r="B14" s="5" t="s">
        <v>10</v>
      </c>
      <c r="C14" s="28">
        <v>37</v>
      </c>
      <c r="D14" s="42">
        <v>34</v>
      </c>
      <c r="E14" s="28">
        <f t="shared" si="0"/>
        <v>3</v>
      </c>
      <c r="F14" s="42">
        <v>39</v>
      </c>
      <c r="G14" s="28">
        <f t="shared" si="1"/>
        <v>-2</v>
      </c>
      <c r="H14" s="7"/>
    </row>
    <row r="15" spans="2:11" x14ac:dyDescent="0.2">
      <c r="B15" s="5" t="s">
        <v>11</v>
      </c>
      <c r="C15" s="28">
        <v>362</v>
      </c>
      <c r="D15" s="42">
        <v>397</v>
      </c>
      <c r="E15" s="28">
        <f t="shared" si="0"/>
        <v>-35</v>
      </c>
      <c r="F15" s="42">
        <v>230</v>
      </c>
      <c r="G15" s="28">
        <f t="shared" si="1"/>
        <v>132</v>
      </c>
      <c r="H15" s="7"/>
    </row>
    <row r="16" spans="2:11" x14ac:dyDescent="0.2">
      <c r="B16" s="5" t="s">
        <v>12</v>
      </c>
      <c r="C16" s="28">
        <v>76</v>
      </c>
      <c r="D16" s="42">
        <v>93</v>
      </c>
      <c r="E16" s="28">
        <f t="shared" si="0"/>
        <v>-17</v>
      </c>
      <c r="F16" s="42">
        <v>70</v>
      </c>
      <c r="G16" s="28">
        <f t="shared" si="1"/>
        <v>6</v>
      </c>
      <c r="H16" s="7"/>
    </row>
    <row r="17" spans="2:8" x14ac:dyDescent="0.2">
      <c r="B17" s="5" t="s">
        <v>13</v>
      </c>
      <c r="C17" s="28">
        <v>6</v>
      </c>
      <c r="D17" s="42">
        <v>21</v>
      </c>
      <c r="E17" s="28">
        <f t="shared" si="0"/>
        <v>-15</v>
      </c>
      <c r="F17" s="42">
        <v>16</v>
      </c>
      <c r="G17" s="28">
        <f t="shared" si="1"/>
        <v>-10</v>
      </c>
      <c r="H17" s="7"/>
    </row>
    <row r="18" spans="2:8" x14ac:dyDescent="0.2">
      <c r="B18" s="5" t="s">
        <v>14</v>
      </c>
      <c r="C18" s="28">
        <v>156</v>
      </c>
      <c r="D18" s="42">
        <v>147</v>
      </c>
      <c r="E18" s="28">
        <f t="shared" si="0"/>
        <v>9</v>
      </c>
      <c r="F18" s="42">
        <v>144</v>
      </c>
      <c r="G18" s="28">
        <f t="shared" si="1"/>
        <v>12</v>
      </c>
      <c r="H18" s="7"/>
    </row>
    <row r="19" spans="2:8" x14ac:dyDescent="0.2">
      <c r="B19" s="5" t="s">
        <v>15</v>
      </c>
      <c r="C19" s="28">
        <v>81</v>
      </c>
      <c r="D19" s="42">
        <v>61</v>
      </c>
      <c r="E19" s="28">
        <f t="shared" si="0"/>
        <v>20</v>
      </c>
      <c r="F19" s="42">
        <v>59</v>
      </c>
      <c r="G19" s="28">
        <f t="shared" si="1"/>
        <v>22</v>
      </c>
      <c r="H19" s="7"/>
    </row>
    <row r="20" spans="2:8" x14ac:dyDescent="0.2">
      <c r="B20" s="5" t="s">
        <v>16</v>
      </c>
      <c r="C20" s="28">
        <v>114</v>
      </c>
      <c r="D20" s="42">
        <v>64</v>
      </c>
      <c r="E20" s="28">
        <f t="shared" si="0"/>
        <v>50</v>
      </c>
      <c r="F20" s="42">
        <v>91</v>
      </c>
      <c r="G20" s="28">
        <f t="shared" si="1"/>
        <v>23</v>
      </c>
      <c r="H20" s="7"/>
    </row>
    <row r="21" spans="2:8" x14ac:dyDescent="0.2">
      <c r="B21" s="5" t="s">
        <v>17</v>
      </c>
      <c r="C21" s="28">
        <v>29</v>
      </c>
      <c r="D21" s="42">
        <v>24</v>
      </c>
      <c r="E21" s="28">
        <f t="shared" si="0"/>
        <v>5</v>
      </c>
      <c r="F21" s="42">
        <v>75</v>
      </c>
      <c r="G21" s="28">
        <f t="shared" si="1"/>
        <v>-46</v>
      </c>
      <c r="H21" s="7"/>
    </row>
    <row r="22" spans="2:8" x14ac:dyDescent="0.2">
      <c r="B22" s="5" t="s">
        <v>18</v>
      </c>
      <c r="C22" s="28">
        <v>91</v>
      </c>
      <c r="D22" s="42">
        <v>92</v>
      </c>
      <c r="E22" s="28">
        <f t="shared" si="0"/>
        <v>-1</v>
      </c>
      <c r="F22" s="42">
        <v>73</v>
      </c>
      <c r="G22" s="28">
        <f t="shared" si="1"/>
        <v>18</v>
      </c>
      <c r="H22" s="7"/>
    </row>
    <row r="23" spans="2:8" x14ac:dyDescent="0.2">
      <c r="B23" s="5" t="s">
        <v>19</v>
      </c>
      <c r="C23" s="28">
        <v>38</v>
      </c>
      <c r="D23" s="42">
        <v>48</v>
      </c>
      <c r="E23" s="28">
        <f t="shared" si="0"/>
        <v>-10</v>
      </c>
      <c r="F23" s="42">
        <v>84</v>
      </c>
      <c r="G23" s="28">
        <f t="shared" si="1"/>
        <v>-46</v>
      </c>
      <c r="H23" s="7"/>
    </row>
    <row r="24" spans="2:8" x14ac:dyDescent="0.2">
      <c r="B24" s="5" t="s">
        <v>20</v>
      </c>
      <c r="C24" s="28">
        <v>84</v>
      </c>
      <c r="D24" s="42">
        <v>89</v>
      </c>
      <c r="E24" s="28">
        <f t="shared" si="0"/>
        <v>-5</v>
      </c>
      <c r="F24" s="42">
        <v>72</v>
      </c>
      <c r="G24" s="28">
        <f t="shared" si="1"/>
        <v>12</v>
      </c>
      <c r="H24" s="7"/>
    </row>
    <row r="25" spans="2:8" x14ac:dyDescent="0.2">
      <c r="B25" s="5" t="s">
        <v>21</v>
      </c>
      <c r="C25" s="28">
        <v>31</v>
      </c>
      <c r="D25" s="42">
        <v>52</v>
      </c>
      <c r="E25" s="28">
        <f t="shared" si="0"/>
        <v>-21</v>
      </c>
      <c r="F25" s="42">
        <v>45</v>
      </c>
      <c r="G25" s="28">
        <f t="shared" si="1"/>
        <v>-14</v>
      </c>
      <c r="H25" s="7"/>
    </row>
    <row r="26" spans="2:8" x14ac:dyDescent="0.2">
      <c r="B26" s="5" t="s">
        <v>22</v>
      </c>
      <c r="C26" s="28">
        <v>51</v>
      </c>
      <c r="D26" s="42">
        <v>13</v>
      </c>
      <c r="E26" s="28">
        <f t="shared" si="0"/>
        <v>38</v>
      </c>
      <c r="F26" s="42">
        <v>25</v>
      </c>
      <c r="G26" s="28">
        <f t="shared" si="1"/>
        <v>26</v>
      </c>
      <c r="H26" s="7"/>
    </row>
    <row r="27" spans="2:8" x14ac:dyDescent="0.2">
      <c r="B27" s="5" t="s">
        <v>23</v>
      </c>
      <c r="C27" s="28">
        <v>247</v>
      </c>
      <c r="D27" s="42">
        <v>226</v>
      </c>
      <c r="E27" s="28">
        <f t="shared" si="0"/>
        <v>21</v>
      </c>
      <c r="F27" s="42">
        <v>412</v>
      </c>
      <c r="G27" s="28">
        <f t="shared" si="1"/>
        <v>-165</v>
      </c>
      <c r="H27" s="7"/>
    </row>
    <row r="28" spans="2:8" x14ac:dyDescent="0.2">
      <c r="B28" s="5" t="s">
        <v>24</v>
      </c>
      <c r="C28" s="28">
        <v>66</v>
      </c>
      <c r="D28" s="42">
        <v>48</v>
      </c>
      <c r="E28" s="28">
        <f t="shared" si="0"/>
        <v>18</v>
      </c>
      <c r="F28" s="42">
        <v>61</v>
      </c>
      <c r="G28" s="28">
        <f t="shared" si="1"/>
        <v>5</v>
      </c>
      <c r="H28" s="7"/>
    </row>
    <row r="29" spans="2:8" ht="15" x14ac:dyDescent="0.25">
      <c r="B29" s="39" t="s">
        <v>25</v>
      </c>
      <c r="C29" s="48">
        <f>SUM(C4:C28)</f>
        <v>2204</v>
      </c>
      <c r="D29" s="44">
        <f>SUM(D4:D28)</f>
        <v>2071</v>
      </c>
      <c r="E29" s="48">
        <f>SUM(E4:E28)</f>
        <v>133</v>
      </c>
      <c r="F29" s="44">
        <f>SUM(F4:F28)</f>
        <v>2183</v>
      </c>
      <c r="G29" s="48">
        <f>SUM(G4:G28)</f>
        <v>21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70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07-'24 r.</v>
      </c>
      <c r="E3" s="36" t="str">
        <f>T('8oferty s.'!D3)</f>
        <v>liczba ofert w 06-'24 r.</v>
      </c>
      <c r="F3" s="36" t="str">
        <f>T('8oferty s.'!E3)</f>
        <v>wzrost/spadek do poprzedniego  miesiąca</v>
      </c>
      <c r="G3" s="36" t="str">
        <f>T('8oferty s.'!F3)</f>
        <v>liczba ofert w 07-'23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przemyski</v>
      </c>
      <c r="D4" s="24">
        <f>INDEX('9of st. k.'!B4:G29,MATCH(1,B4:B29,0),2)</f>
        <v>6</v>
      </c>
      <c r="E4" s="42">
        <f>INDEX('9of st. k.'!B4:G29,MATCH(1,B4:B29,0),3)</f>
        <v>21</v>
      </c>
      <c r="F4" s="6">
        <f>INDEX('9of st. k.'!B4:G29,MATCH(1,B4:B29,0),4)</f>
        <v>-15</v>
      </c>
      <c r="G4" s="42">
        <f>INDEX('9of st. k.'!B4:G29,MATCH(1,B4:B29,0),5)</f>
        <v>16</v>
      </c>
      <c r="H4" s="6">
        <f>INDEX('9of st. k.'!B4:G29,MATCH(1,B4:B29,0),6)</f>
        <v>-10</v>
      </c>
    </row>
    <row r="5" spans="2:8" x14ac:dyDescent="0.2">
      <c r="B5" s="6">
        <f>RANK('9of st. k.'!C5,'9of st. k.'!$C$4:'9of st. k.'!$C$29,1)+COUNTIF('9of st. k.'!$C$4:'9of st. k.'!C5,'9of st. k.'!C5)-1</f>
        <v>2</v>
      </c>
      <c r="C5" s="5" t="str">
        <f>INDEX('9of st. k.'!B4:G29,MATCH(2,B4:B29,0),1)</f>
        <v>brzozowski</v>
      </c>
      <c r="D5" s="6">
        <f>INDEX('9of st. k.'!B4:G29,MATCH(2,B4:B29,0),2)</f>
        <v>8</v>
      </c>
      <c r="E5" s="42">
        <f>INDEX('9of st. k.'!B4:G29,MATCH(2,B4:B29,0),3)</f>
        <v>17</v>
      </c>
      <c r="F5" s="6">
        <f>INDEX('9of st. k.'!B4:G29,MATCH(2,B4:B29,0),4)</f>
        <v>-9</v>
      </c>
      <c r="G5" s="42">
        <f>INDEX('9of st. k.'!B4:G29,MATCH(2,B4:B29,0),5)</f>
        <v>4</v>
      </c>
      <c r="H5" s="6">
        <f>INDEX('9of st. k.'!B4:G29,MATCH(2,B4:B29,0),6)</f>
        <v>4</v>
      </c>
    </row>
    <row r="6" spans="2:8" x14ac:dyDescent="0.2">
      <c r="B6" s="6">
        <f>RANK('9of st. k.'!C6,'9of st. k.'!$C$4:'9of st. k.'!$C$29,1)+COUNTIF('9of st. k.'!$C$4:'9of st. k.'!C6,'9of st. k.'!C6)-1</f>
        <v>21</v>
      </c>
      <c r="C6" s="5" t="str">
        <f>INDEX('9of st. k.'!B4:G29,MATCH(3,B4:B29,0),1)</f>
        <v>bieszczadzki</v>
      </c>
      <c r="D6" s="6">
        <f>INDEX('9of st. k.'!B4:G29,MATCH(3,B4:B29,0),2)</f>
        <v>24</v>
      </c>
      <c r="E6" s="42">
        <f>INDEX('9of st. k.'!B4:G29,MATCH(3,B4:B29,0),3)</f>
        <v>31</v>
      </c>
      <c r="F6" s="6">
        <f>INDEX('9of st. k.'!B4:G29,MATCH(3,B4:B29,0),4)</f>
        <v>-7</v>
      </c>
      <c r="G6" s="42">
        <f>INDEX('9of st. k.'!B4:G29,MATCH(3,B4:B29,0),5)</f>
        <v>28</v>
      </c>
      <c r="H6" s="6">
        <f>INDEX('9of st. k.'!B4:G29,MATCH(3,B4:B29,0),6)</f>
        <v>-4</v>
      </c>
    </row>
    <row r="7" spans="2:8" x14ac:dyDescent="0.2">
      <c r="B7" s="6">
        <f>RANK('9of st. k.'!C7,'9of st. k.'!$C$4:'9of st. k.'!$C$29,1)+COUNTIF('9of st. k.'!$C$4:'9of st. k.'!C7,'9of st. k.'!C7)-1</f>
        <v>19</v>
      </c>
      <c r="C7" s="5" t="str">
        <f>INDEX('9of st. k.'!B4:G29,MATCH(4,B4:B29,0),1)</f>
        <v>sanocki</v>
      </c>
      <c r="D7" s="6">
        <f>INDEX('9of st. k.'!B4:G29,MATCH(4,B4:B29,0),2)</f>
        <v>29</v>
      </c>
      <c r="E7" s="42">
        <f>INDEX('9of st. k.'!B4:G29,MATCH(4,B4:B29,0),3)</f>
        <v>24</v>
      </c>
      <c r="F7" s="6">
        <f>INDEX('9of st. k.'!B4:G29,MATCH(4,B4:B29,0),4)</f>
        <v>5</v>
      </c>
      <c r="G7" s="42">
        <f>INDEX('9of st. k.'!B4:G29,MATCH(4,B4:B29,0),5)</f>
        <v>75</v>
      </c>
      <c r="H7" s="6">
        <f>INDEX('9of st. k.'!B4:G29,MATCH(4,B4:B29,0),6)</f>
        <v>-46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Krosno</v>
      </c>
      <c r="D8" s="6">
        <f>INDEX('9of st. k.'!B4:G29,MATCH(5,B4:B29,0),2)</f>
        <v>31</v>
      </c>
      <c r="E8" s="42">
        <f>INDEX('9of st. k.'!B4:G29,MATCH(5,B4:B29,0),3)</f>
        <v>52</v>
      </c>
      <c r="F8" s="6">
        <f>INDEX('9of st. k.'!B4:G29,MATCH(5,B4:B29,0),4)</f>
        <v>-21</v>
      </c>
      <c r="G8" s="42">
        <f>INDEX('9of st. k.'!B4:G29,MATCH(5,B4:B29,0),5)</f>
        <v>45</v>
      </c>
      <c r="H8" s="6">
        <f>INDEX('9of st. k.'!B4:G29,MATCH(5,B4:B29,0),6)</f>
        <v>-14</v>
      </c>
    </row>
    <row r="9" spans="2:8" x14ac:dyDescent="0.2">
      <c r="B9" s="6">
        <f>RANK('9of st. k.'!C9,'9of st. k.'!$C$4:'9of st. k.'!$C$29,1)+COUNTIF('9of st. k.'!$C$4:'9of st. k.'!C9,'9of st. k.'!C9)-1</f>
        <v>14</v>
      </c>
      <c r="C9" s="5" t="str">
        <f>INDEX('9of st. k.'!B4:G29,MATCH(6,B4:B29,0),1)</f>
        <v>leski</v>
      </c>
      <c r="D9" s="6">
        <f>INDEX('9of st. k.'!B4:G29,MATCH(6,B4:B29,0),2)</f>
        <v>36</v>
      </c>
      <c r="E9" s="42">
        <f>INDEX('9of st. k.'!B4:G29,MATCH(6,B4:B29,0),3)</f>
        <v>37</v>
      </c>
      <c r="F9" s="6">
        <f>INDEX('9of st. k.'!B4:G29,MATCH(6,B4:B29,0),4)</f>
        <v>-1</v>
      </c>
      <c r="G9" s="42">
        <f>INDEX('9of st. k.'!B4:G29,MATCH(6,B4:B29,0),5)</f>
        <v>13</v>
      </c>
      <c r="H9" s="6">
        <f>INDEX('9of st. k.'!B4:G29,MATCH(6,B4:B29,0),6)</f>
        <v>23</v>
      </c>
    </row>
    <row r="10" spans="2:8" x14ac:dyDescent="0.2">
      <c r="B10" s="6">
        <f>RANK('9of st. k.'!C10,'9of st. k.'!$C$4:'9of st. k.'!$C$29,1)+COUNTIF('9of st. k.'!$C$4:'9of st. k.'!C10,'9of st. k.'!C10)-1</f>
        <v>17</v>
      </c>
      <c r="C10" s="9" t="str">
        <f>INDEX('9of st. k.'!B4:G29,MATCH(7,B4:B29,0),1)</f>
        <v>łańcucki</v>
      </c>
      <c r="D10" s="6">
        <f>INDEX('9of st. k.'!B4:G29,MATCH(7,B4:B29,0),2)</f>
        <v>37</v>
      </c>
      <c r="E10" s="42">
        <f>INDEX('9of st. k.'!B4:G29,MATCH(7,B4:B29,0),3)</f>
        <v>34</v>
      </c>
      <c r="F10" s="6">
        <f>INDEX('9of st. k.'!B4:G29,MATCH(7,B4:B29,0),4)</f>
        <v>3</v>
      </c>
      <c r="G10" s="42">
        <f>INDEX('9of st. k.'!B4:G29,MATCH(7,B4:B29,0),5)</f>
        <v>39</v>
      </c>
      <c r="H10" s="6">
        <f>INDEX('9of st. k.'!B4:G29,MATCH(7,B4:B29,0),6)</f>
        <v>-2</v>
      </c>
    </row>
    <row r="11" spans="2:8" x14ac:dyDescent="0.2">
      <c r="B11" s="6">
        <f>RANK('9of st. k.'!C11,'9of st. k.'!$C$4:'9of st. k.'!$C$29,1)+COUNTIF('9of st. k.'!$C$4:'9of st. k.'!C11,'9of st. k.'!C11)-1</f>
        <v>6</v>
      </c>
      <c r="C11" s="5" t="str">
        <f>INDEX('9of st. k.'!B4:G29,MATCH(8,B4:B29,0),1)</f>
        <v>strzyżowski</v>
      </c>
      <c r="D11" s="6">
        <f>INDEX('9of st. k.'!B4:G29,MATCH(8,B4:B29,0),2)</f>
        <v>38</v>
      </c>
      <c r="E11" s="42">
        <f>INDEX('9of st. k.'!B4:G29,MATCH(8,B4:B29,0),3)</f>
        <v>48</v>
      </c>
      <c r="F11" s="6">
        <f>INDEX('9of st. k.'!B4:G29,MATCH(8,B4:B29,0),4)</f>
        <v>-10</v>
      </c>
      <c r="G11" s="42">
        <f>INDEX('9of st. k.'!B4:G29,MATCH(8,B4:B29,0),5)</f>
        <v>84</v>
      </c>
      <c r="H11" s="6">
        <f>INDEX('9of st. k.'!B4:G29,MATCH(8,B4:B29,0),6)</f>
        <v>-46</v>
      </c>
    </row>
    <row r="12" spans="2:8" x14ac:dyDescent="0.2">
      <c r="B12" s="6">
        <f>RANK('9of st. k.'!C12,'9of st. k.'!$C$4:'9of st. k.'!$C$29,1)+COUNTIF('9of st. k.'!$C$4:'9of st. k.'!C12,'9of st. k.'!C12)-1</f>
        <v>11</v>
      </c>
      <c r="C12" s="5" t="str">
        <f>INDEX('9of st. k.'!B4:G29,MATCH(9,B4:B29,0),1)</f>
        <v>lubaczowski</v>
      </c>
      <c r="D12" s="6">
        <f>INDEX('9of st. k.'!B4:G29,MATCH(9,B4:B29,0),2)</f>
        <v>41</v>
      </c>
      <c r="E12" s="42">
        <f>INDEX('9of st. k.'!B4:G29,MATCH(9,B4:B29,0),3)</f>
        <v>47</v>
      </c>
      <c r="F12" s="6">
        <f>INDEX('9of st. k.'!B4:G29,MATCH(9,B4:B29,0),4)</f>
        <v>-6</v>
      </c>
      <c r="G12" s="42">
        <f>INDEX('9of st. k.'!B4:G29,MATCH(9,B4:B29,0),5)</f>
        <v>79</v>
      </c>
      <c r="H12" s="6">
        <f>INDEX('9of st. k.'!B4:G29,MATCH(9,B4:B29,0),6)</f>
        <v>-38</v>
      </c>
    </row>
    <row r="13" spans="2:8" x14ac:dyDescent="0.2">
      <c r="B13" s="6">
        <f>RANK('9of st. k.'!C13,'9of st. k.'!$C$4:'9of st. k.'!$C$29,1)+COUNTIF('9of st. k.'!$C$4:'9of st. k.'!C13,'9of st. k.'!C13)-1</f>
        <v>9</v>
      </c>
      <c r="C13" s="5" t="str">
        <f>INDEX('9of st. k.'!B4:G29,MATCH(10,B4:B29,0),1)</f>
        <v>Przemyśl</v>
      </c>
      <c r="D13" s="6">
        <f>INDEX('9of st. k.'!B4:G29,MATCH(10,B4:B29,0),2)</f>
        <v>51</v>
      </c>
      <c r="E13" s="42">
        <f>INDEX('9of st. k.'!B4:G29,MATCH(10,B4:B29,0),3)</f>
        <v>13</v>
      </c>
      <c r="F13" s="6">
        <f>INDEX('9of st. k.'!B4:G29,MATCH(10,B4:B29,0),4)</f>
        <v>38</v>
      </c>
      <c r="G13" s="42">
        <f>INDEX('9of st. k.'!B4:G29,MATCH(10,B4:B29,0),5)</f>
        <v>25</v>
      </c>
      <c r="H13" s="6">
        <f>INDEX('9of st. k.'!B4:G29,MATCH(10,B4:B29,0),6)</f>
        <v>26</v>
      </c>
    </row>
    <row r="14" spans="2:8" x14ac:dyDescent="0.2">
      <c r="B14" s="6">
        <f>RANK('9of st. k.'!C14,'9of st. k.'!$C$4:'9of st. k.'!$C$29,1)+COUNTIF('9of st. k.'!$C$4:'9of st. k.'!C14,'9of st. k.'!C14)-1</f>
        <v>7</v>
      </c>
      <c r="C14" s="5" t="str">
        <f>INDEX('9of st. k.'!B4:G29,MATCH(11,B4:B29,0),1)</f>
        <v>leżajski</v>
      </c>
      <c r="D14" s="6">
        <f>INDEX('9of st. k.'!B4:G29,MATCH(11,B4:B29,0),2)</f>
        <v>54</v>
      </c>
      <c r="E14" s="42">
        <f>INDEX('9of st. k.'!B4:G29,MATCH(11,B4:B29,0),3)</f>
        <v>48</v>
      </c>
      <c r="F14" s="6">
        <f>INDEX('9of st. k.'!B4:G29,MATCH(11,B4:B29,0),4)</f>
        <v>6</v>
      </c>
      <c r="G14" s="42">
        <f>INDEX('9of st. k.'!B4:G29,MATCH(11,B4:B29,0),5)</f>
        <v>62</v>
      </c>
      <c r="H14" s="6">
        <f>INDEX('9of st. k.'!B4:G29,MATCH(11,B4:B29,0),6)</f>
        <v>-8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Tarnobrzeg</v>
      </c>
      <c r="D15" s="6">
        <f>INDEX('9of st. k.'!B4:G29,MATCH(12,B4:B29,0),2)</f>
        <v>66</v>
      </c>
      <c r="E15" s="42">
        <f>INDEX('9of st. k.'!B4:G29,MATCH(12,B4:B29,0),3)</f>
        <v>48</v>
      </c>
      <c r="F15" s="6">
        <f>INDEX('9of st. k.'!B4:G29,MATCH(12,B4:B29,0),4)</f>
        <v>18</v>
      </c>
      <c r="G15" s="42">
        <f>INDEX('9of st. k.'!B4:G29,MATCH(12,B4:B29,0),5)</f>
        <v>61</v>
      </c>
      <c r="H15" s="6">
        <f>INDEX('9of st. k.'!B4:G29,MATCH(12,B4:B29,0),6)</f>
        <v>5</v>
      </c>
    </row>
    <row r="16" spans="2:8" x14ac:dyDescent="0.2">
      <c r="B16" s="6">
        <f>RANK('9of st. k.'!C16,'9of st. k.'!$C$4:'9of st. k.'!$C$29,1)+COUNTIF('9of st. k.'!$C$4:'9of st. k.'!C16,'9of st. k.'!C16)-1</f>
        <v>13</v>
      </c>
      <c r="C16" s="5" t="str">
        <f>INDEX('9of st. k.'!B4:G29,MATCH(13,B4:B29,0),1)</f>
        <v>niżański</v>
      </c>
      <c r="D16" s="6">
        <f>INDEX('9of st. k.'!B4:G29,MATCH(13,B4:B29,0),2)</f>
        <v>76</v>
      </c>
      <c r="E16" s="42">
        <f>INDEX('9of st. k.'!B4:G29,MATCH(13,B4:B29,0),3)</f>
        <v>93</v>
      </c>
      <c r="F16" s="6">
        <f>INDEX('9of st. k.'!B4:G29,MATCH(13,B4:B29,0),4)</f>
        <v>-17</v>
      </c>
      <c r="G16" s="42">
        <f>INDEX('9of st. k.'!B4:G29,MATCH(13,B4:B29,0),5)</f>
        <v>70</v>
      </c>
      <c r="H16" s="6">
        <f>INDEX('9of st. k.'!B4:G29,MATCH(13,B4:B29,0),6)</f>
        <v>6</v>
      </c>
    </row>
    <row r="17" spans="2:8" x14ac:dyDescent="0.2">
      <c r="B17" s="6">
        <f>RANK('9of st. k.'!C17,'9of st. k.'!$C$4:'9of st. k.'!$C$29,1)+COUNTIF('9of st. k.'!$C$4:'9of st. k.'!C17,'9of st. k.'!C17)-1</f>
        <v>1</v>
      </c>
      <c r="C17" s="5" t="str">
        <f>INDEX('9of st. k.'!B4:G29,MATCH(14,B4:B29,0),1)</f>
        <v>kolbuszowski</v>
      </c>
      <c r="D17" s="6">
        <f>INDEX('9of st. k.'!B4:G29,MATCH(14,B4:B29,0),2)</f>
        <v>79</v>
      </c>
      <c r="E17" s="42">
        <f>INDEX('9of st. k.'!B4:G29,MATCH(14,B4:B29,0),3)</f>
        <v>63</v>
      </c>
      <c r="F17" s="6">
        <f>INDEX('9of st. k.'!B4:G29,MATCH(14,B4:B29,0),4)</f>
        <v>16</v>
      </c>
      <c r="G17" s="42">
        <f>INDEX('9of st. k.'!B4:G29,MATCH(14,B4:B29,0),5)</f>
        <v>52</v>
      </c>
      <c r="H17" s="6">
        <f>INDEX('9of st. k.'!B4:G29,MATCH(14,B4:B29,0),6)</f>
        <v>27</v>
      </c>
    </row>
    <row r="18" spans="2:8" x14ac:dyDescent="0.2">
      <c r="B18" s="6">
        <f>RANK('9of st. k.'!C18,'9of st. k.'!$C$4:'9of st. k.'!$C$29,1)+COUNTIF('9of st. k.'!$C$4:'9of st. k.'!C18,'9of st. k.'!C18)-1</f>
        <v>22</v>
      </c>
      <c r="C18" s="5" t="str">
        <f>INDEX('9of st. k.'!B4:G29,MATCH(15,B4:B29,0),1)</f>
        <v>ropczycko-sędziszowski</v>
      </c>
      <c r="D18" s="6">
        <f>INDEX('9of st. k.'!B4:G29,MATCH(15,B4:B29,0),2)</f>
        <v>81</v>
      </c>
      <c r="E18" s="42">
        <f>INDEX('9of st. k.'!B4:G29,MATCH(15,B4:B29,0),3)</f>
        <v>61</v>
      </c>
      <c r="F18" s="6">
        <f>INDEX('9of st. k.'!B4:G29,MATCH(15,B4:B29,0),4)</f>
        <v>20</v>
      </c>
      <c r="G18" s="42">
        <f>INDEX('9of st. k.'!B4:G29,MATCH(15,B4:B29,0),5)</f>
        <v>59</v>
      </c>
      <c r="H18" s="6">
        <f>INDEX('9of st. k.'!B4:G29,MATCH(15,B4:B29,0),6)</f>
        <v>22</v>
      </c>
    </row>
    <row r="19" spans="2:8" x14ac:dyDescent="0.2">
      <c r="B19" s="6">
        <f>RANK('9of st. k.'!C19,'9of st. k.'!$C$4:'9of st. k.'!$C$29,1)+COUNTIF('9of st. k.'!$C$4:'9of st. k.'!C19,'9of st. k.'!C19)-1</f>
        <v>15</v>
      </c>
      <c r="C19" s="5" t="str">
        <f>INDEX('9of st. k.'!B4:G29,MATCH(16,B4:B29,0),1)</f>
        <v xml:space="preserve">tarnobrzeski </v>
      </c>
      <c r="D19" s="6">
        <f>INDEX('9of st. k.'!B4:G29,MATCH(16,B4:B29,0),2)</f>
        <v>84</v>
      </c>
      <c r="E19" s="42">
        <f>INDEX('9of st. k.'!B4:G29,MATCH(16,B4:B29,0),3)</f>
        <v>89</v>
      </c>
      <c r="F19" s="6">
        <f>INDEX('9of st. k.'!B4:G29,MATCH(16,B4:B29,0),4)</f>
        <v>-5</v>
      </c>
      <c r="G19" s="42">
        <f>INDEX('9of st. k.'!B4:G29,MATCH(16,B4:B29,0),5)</f>
        <v>72</v>
      </c>
      <c r="H19" s="6">
        <f>INDEX('9of st. k.'!B4:G29,MATCH(16,B4:B29,0),6)</f>
        <v>12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krośnieński</v>
      </c>
      <c r="D20" s="6">
        <f>INDEX('9of st. k.'!B4:G29,MATCH(17,B4:B29,0),2)</f>
        <v>91</v>
      </c>
      <c r="E20" s="42">
        <f>INDEX('9of st. k.'!B4:G29,MATCH(17,B4:B29,0),3)</f>
        <v>105</v>
      </c>
      <c r="F20" s="6">
        <f>INDEX('9of st. k.'!B4:G29,MATCH(17,B4:B29,0),4)</f>
        <v>-14</v>
      </c>
      <c r="G20" s="42">
        <f>INDEX('9of st. k.'!B4:G29,MATCH(17,B4:B29,0),5)</f>
        <v>53</v>
      </c>
      <c r="H20" s="6">
        <f>INDEX('9of st. k.'!B4:G29,MATCH(17,B4:B29,0),6)</f>
        <v>38</v>
      </c>
    </row>
    <row r="21" spans="2:8" x14ac:dyDescent="0.2">
      <c r="B21" s="6">
        <f>RANK('9of st. k.'!C21,'9of st. k.'!$C$4:'9of st. k.'!$C$29,1)+COUNTIF('9of st. k.'!$C$4:'9of st. k.'!C21,'9of st. k.'!C21)-1</f>
        <v>4</v>
      </c>
      <c r="C21" s="5" t="str">
        <f>INDEX('9of st. k.'!B4:G29,MATCH(18,B4:B29,0),1)</f>
        <v>stalowowolski</v>
      </c>
      <c r="D21" s="6">
        <f>INDEX('9of st. k.'!B4:G29,MATCH(18,B4:B29,0),2)</f>
        <v>91</v>
      </c>
      <c r="E21" s="42">
        <f>INDEX('9of st. k.'!B4:G29,MATCH(18,B4:B29,0),3)</f>
        <v>92</v>
      </c>
      <c r="F21" s="6">
        <f>INDEX('9of st. k.'!B4:G29,MATCH(18,B4:B29,0),4)</f>
        <v>-1</v>
      </c>
      <c r="G21" s="42">
        <f>INDEX('9of st. k.'!B4:G29,MATCH(18,B4:B29,0),5)</f>
        <v>73</v>
      </c>
      <c r="H21" s="6">
        <f>INDEX('9of st. k.'!B4:G29,MATCH(18,B4:B29,0),6)</f>
        <v>18</v>
      </c>
    </row>
    <row r="22" spans="2:8" x14ac:dyDescent="0.2">
      <c r="B22" s="6">
        <f>RANK('9of st. k.'!C22,'9of st. k.'!$C$4:'9of st. k.'!$C$29,1)+COUNTIF('9of st. k.'!$C$4:'9of st. k.'!C22,'9of st. k.'!C22)-1</f>
        <v>18</v>
      </c>
      <c r="C22" s="5" t="str">
        <f>INDEX('9of st. k.'!B4:G29,MATCH(19,B4:B29,0),1)</f>
        <v>jarosławski</v>
      </c>
      <c r="D22" s="6">
        <f>INDEX('9of st. k.'!B4:G29,MATCH(19,B4:B29,0),2)</f>
        <v>98</v>
      </c>
      <c r="E22" s="42">
        <f>INDEX('9of st. k.'!B4:G29,MATCH(19,B4:B29,0),3)</f>
        <v>102</v>
      </c>
      <c r="F22" s="6">
        <f>INDEX('9of st. k.'!B4:G29,MATCH(19,B4:B29,0),4)</f>
        <v>-4</v>
      </c>
      <c r="G22" s="42">
        <f>INDEX('9of st. k.'!B4:G29,MATCH(19,B4:B29,0),5)</f>
        <v>124</v>
      </c>
      <c r="H22" s="6">
        <f>INDEX('9of st. k.'!B4:G29,MATCH(19,B4:B29,0),6)</f>
        <v>-26</v>
      </c>
    </row>
    <row r="23" spans="2:8" x14ac:dyDescent="0.2">
      <c r="B23" s="6">
        <f>RANK('9of st. k.'!C23,'9of st. k.'!$C$4:'9of st. k.'!$C$29,1)+COUNTIF('9of st. k.'!$C$4:'9of st. k.'!C23,'9of st. k.'!C23)-1</f>
        <v>8</v>
      </c>
      <c r="C23" s="5" t="str">
        <f>INDEX('9of st. k.'!B4:G29,MATCH(20,B4:B29,0),1)</f>
        <v>rzeszowski</v>
      </c>
      <c r="D23" s="6">
        <f>INDEX('9of st. k.'!B4:G29,MATCH(20,B4:B29,0),2)</f>
        <v>114</v>
      </c>
      <c r="E23" s="42">
        <f>INDEX('9of st. k.'!B4:G29,MATCH(20,B4:B29,0),3)</f>
        <v>64</v>
      </c>
      <c r="F23" s="6">
        <f>INDEX('9of st. k.'!B4:G29,MATCH(20,B4:B29,0),4)</f>
        <v>50</v>
      </c>
      <c r="G23" s="42">
        <f>INDEX('9of st. k.'!B4:G29,MATCH(20,B4:B29,0),5)</f>
        <v>91</v>
      </c>
      <c r="H23" s="6">
        <f>INDEX('9of st. k.'!B4:G29,MATCH(20,B4:B29,0),6)</f>
        <v>23</v>
      </c>
    </row>
    <row r="24" spans="2:8" x14ac:dyDescent="0.2">
      <c r="B24" s="6">
        <f>RANK('9of st. k.'!C24,'9of st. k.'!$C$4:'9of st. k.'!$C$29,1)+COUNTIF('9of st. k.'!$C$4:'9of st. k.'!C24,'9of st. k.'!C24)-1</f>
        <v>16</v>
      </c>
      <c r="C24" s="5" t="str">
        <f>INDEX('9of st. k.'!B4:G29,MATCH(21,B4:B29,0),1)</f>
        <v>dębicki</v>
      </c>
      <c r="D24" s="6">
        <f>INDEX('9of st. k.'!B4:G29,MATCH(21,B4:B29,0),2)</f>
        <v>140</v>
      </c>
      <c r="E24" s="42">
        <f>INDEX('9of st. k.'!B4:G29,MATCH(21,B4:B29,0),3)</f>
        <v>164</v>
      </c>
      <c r="F24" s="6">
        <f>INDEX('9of st. k.'!B4:G29,MATCH(21,B4:B29,0),4)</f>
        <v>-24</v>
      </c>
      <c r="G24" s="42">
        <f>INDEX('9of st. k.'!B4:G29,MATCH(21,B4:B29,0),5)</f>
        <v>117</v>
      </c>
      <c r="H24" s="6">
        <f>INDEX('9of st. k.'!B4:G29,MATCH(21,B4:B29,0),6)</f>
        <v>23</v>
      </c>
    </row>
    <row r="25" spans="2:8" x14ac:dyDescent="0.2">
      <c r="B25" s="6">
        <f>RANK('9of st. k.'!C25,'9of st. k.'!$C$4:'9of st. k.'!$C$29,1)+COUNTIF('9of st. k.'!$C$4:'9of st. k.'!C25,'9of st. k.'!C25)-1</f>
        <v>5</v>
      </c>
      <c r="C25" s="5" t="str">
        <f>INDEX('9of st. k.'!B4:G29,MATCH(22,B4:B29,0),1)</f>
        <v>przeworski</v>
      </c>
      <c r="D25" s="6">
        <f>INDEX('9of st. k.'!B4:G29,MATCH(22,B4:B29,0),2)</f>
        <v>156</v>
      </c>
      <c r="E25" s="42">
        <f>INDEX('9of st. k.'!B4:G29,MATCH(22,B4:B29,0),3)</f>
        <v>147</v>
      </c>
      <c r="F25" s="6">
        <f>INDEX('9of st. k.'!B4:G29,MATCH(22,B4:B29,0),4)</f>
        <v>9</v>
      </c>
      <c r="G25" s="42">
        <f>INDEX('9of st. k.'!B4:G29,MATCH(22,B4:B29,0),5)</f>
        <v>144</v>
      </c>
      <c r="H25" s="6">
        <f>INDEX('9of st. k.'!B4:G29,MATCH(22,B4:B29,0),6)</f>
        <v>12</v>
      </c>
    </row>
    <row r="26" spans="2:8" x14ac:dyDescent="0.2">
      <c r="B26" s="6">
        <f>RANK('9of st. k.'!C26,'9of st. k.'!$C$4:'9of st. k.'!$C$29,1)+COUNTIF('9of st. k.'!$C$4:'9of st. k.'!C26,'9of st. k.'!C26)-1</f>
        <v>10</v>
      </c>
      <c r="C26" s="5" t="str">
        <f>INDEX('9of st. k.'!B4:G29,MATCH(23,B4:B29,0),1)</f>
        <v>jasielski</v>
      </c>
      <c r="D26" s="6">
        <f>INDEX('9of st. k.'!B4:G29,MATCH(23,B4:B29,0),2)</f>
        <v>164</v>
      </c>
      <c r="E26" s="42">
        <f>INDEX('9of st. k.'!B4:G29,MATCH(23,B4:B29,0),3)</f>
        <v>48</v>
      </c>
      <c r="F26" s="6">
        <f>INDEX('9of st. k.'!B4:G29,MATCH(23,B4:B29,0),4)</f>
        <v>116</v>
      </c>
      <c r="G26" s="42">
        <f>INDEX('9of st. k.'!B4:G29,MATCH(23,B4:B29,0),5)</f>
        <v>155</v>
      </c>
      <c r="H26" s="6">
        <f>INDEX('9of st. k.'!B4:G29,MATCH(23,B4:B29,0),6)</f>
        <v>9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247</v>
      </c>
      <c r="E27" s="42">
        <f>INDEX('9of st. k.'!B4:G29,MATCH(24,B4:B29,0),3)</f>
        <v>226</v>
      </c>
      <c r="F27" s="6">
        <f>INDEX('9of st. k.'!B4:G29,MATCH(24,B4:B29,0),4)</f>
        <v>21</v>
      </c>
      <c r="G27" s="42">
        <f>INDEX('9of st. k.'!B4:G29,MATCH(24,B4:B29,0),5)</f>
        <v>412</v>
      </c>
      <c r="H27" s="6">
        <f>INDEX('9of st. k.'!B4:G29,MATCH(24,B4:B29,0),6)</f>
        <v>-165</v>
      </c>
    </row>
    <row r="28" spans="2:8" x14ac:dyDescent="0.2">
      <c r="B28" s="6">
        <f>RANK('9of st. k.'!C28,'9of st. k.'!$C$4:'9of st. k.'!$C$29,1)+COUNTIF('9of st. k.'!$C$4:'9of st. k.'!C28,'9of st. k.'!C28)-1</f>
        <v>12</v>
      </c>
      <c r="C28" s="5" t="str">
        <f>INDEX('9of st. k.'!B4:G29,MATCH(25,B4:B29,0),1)</f>
        <v>mielecki</v>
      </c>
      <c r="D28" s="6">
        <f>INDEX('9of st. k.'!B4:G29,MATCH(25,B4:B29,0),2)</f>
        <v>362</v>
      </c>
      <c r="E28" s="42">
        <f>INDEX('9of st. k.'!B4:G29,MATCH(25,B4:B29,0),3)</f>
        <v>397</v>
      </c>
      <c r="F28" s="6">
        <f>INDEX('9of st. k.'!B4:G29,MATCH(25,B4:B29,0),4)</f>
        <v>-35</v>
      </c>
      <c r="G28" s="42">
        <f>INDEX('9of st. k.'!B4:G29,MATCH(25,B4:B29,0),5)</f>
        <v>230</v>
      </c>
      <c r="H28" s="6">
        <f>INDEX('9of st. k.'!B4:G29,MATCH(25,B4:B29,0),6)</f>
        <v>132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2204</v>
      </c>
      <c r="E29" s="44">
        <f>INDEX('9of st. k.'!B4:G29,MATCH(26,B4:B29,0),3)</f>
        <v>2071</v>
      </c>
      <c r="F29" s="40">
        <f>INDEX('9of st. k.'!B4:G29,MATCH(26,B4:B29,0),4)</f>
        <v>133</v>
      </c>
      <c r="G29" s="44">
        <f>INDEX('9of st. k.'!B4:G29,MATCH(26,B4:B29,0),5)</f>
        <v>2183</v>
      </c>
      <c r="H29" s="40">
        <f>INDEX('9of st. k.'!B4:G29,MATCH(26,B4:B29,0),6)</f>
        <v>21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5" width="9.5703125" style="51" customWidth="1"/>
    <col min="6" max="6" width="6.28515625" style="51" customWidth="1"/>
    <col min="7" max="7" width="2.28515625" style="51" customWidth="1"/>
    <col min="8" max="8" width="8.7109375" style="51" customWidth="1"/>
    <col min="9" max="9" width="8.5703125" style="51" customWidth="1"/>
    <col min="10" max="10" width="6.7109375" style="51" customWidth="1"/>
    <col min="11" max="11" width="1.5703125" style="51" customWidth="1"/>
    <col min="12" max="12" width="8" style="51" customWidth="1"/>
    <col min="13" max="13" width="8.28515625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7109375" style="51" customWidth="1"/>
    <col min="20" max="20" width="12.285156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11.5703125" style="51" customWidth="1"/>
    <col min="25" max="25" width="1.85546875" style="51" customWidth="1"/>
    <col min="26" max="26" width="6" style="74" customWidth="1"/>
    <col min="27" max="27" width="18.7109375" style="51" customWidth="1"/>
    <col min="28" max="28" width="6" style="51" customWidth="1"/>
    <col min="29" max="29" width="2.42578125" style="51" customWidth="1"/>
    <col min="30" max="30" width="6" style="51" customWidth="1"/>
    <col min="31" max="31" width="18.85546875" style="51" customWidth="1"/>
    <col min="32" max="32" width="5.28515625" style="51" customWidth="1"/>
    <col min="33" max="33" width="1.5703125" style="51" customWidth="1"/>
    <col min="34" max="34" width="4.140625" style="51" customWidth="1"/>
    <col min="35" max="35" width="4.42578125" style="51" customWidth="1"/>
    <col min="36" max="16384" width="9.140625" style="51"/>
  </cols>
  <sheetData>
    <row r="1" spans="2:35" ht="11.25" customHeight="1" x14ac:dyDescent="0.2">
      <c r="C1" s="107" t="s">
        <v>62</v>
      </c>
      <c r="D1" s="105"/>
      <c r="E1" s="105"/>
      <c r="F1" s="105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50"/>
    </row>
    <row r="2" spans="2:35" ht="13.5" customHeight="1" thickBot="1" x14ac:dyDescent="0.25">
      <c r="C2" s="106" t="s">
        <v>58</v>
      </c>
      <c r="D2" s="102"/>
      <c r="E2" s="102"/>
      <c r="F2" s="102"/>
      <c r="G2" s="103"/>
      <c r="H2" s="106" t="s">
        <v>59</v>
      </c>
      <c r="I2" s="103"/>
      <c r="J2" s="103"/>
      <c r="K2" s="103"/>
      <c r="L2" s="106" t="s">
        <v>60</v>
      </c>
      <c r="M2" s="103"/>
      <c r="N2" s="103"/>
      <c r="O2" s="103"/>
      <c r="P2" s="50"/>
      <c r="Q2" s="85"/>
      <c r="R2" s="118" t="s">
        <v>69</v>
      </c>
      <c r="S2" s="103"/>
      <c r="T2" s="50"/>
      <c r="U2" s="85"/>
      <c r="V2" s="50"/>
      <c r="W2" s="50"/>
      <c r="X2" s="103"/>
      <c r="Y2" s="85"/>
      <c r="Z2" s="104"/>
      <c r="AA2" s="86"/>
      <c r="AB2" s="86"/>
      <c r="AC2" s="86"/>
      <c r="AD2" s="86"/>
      <c r="AE2" s="86"/>
      <c r="AF2" s="86"/>
      <c r="AG2" s="86"/>
      <c r="AH2" s="86"/>
      <c r="AI2" s="86"/>
    </row>
    <row r="3" spans="2:35" ht="45.75" thickBot="1" x14ac:dyDescent="0.25">
      <c r="B3" s="140"/>
      <c r="C3" s="101" t="s">
        <v>27</v>
      </c>
      <c r="D3" s="108" t="s">
        <v>95</v>
      </c>
      <c r="E3" s="110" t="s">
        <v>96</v>
      </c>
      <c r="F3" s="141" t="s">
        <v>64</v>
      </c>
      <c r="G3" s="79"/>
      <c r="H3" s="109" t="s">
        <v>97</v>
      </c>
      <c r="I3" s="110" t="s">
        <v>98</v>
      </c>
      <c r="J3" s="141" t="s">
        <v>65</v>
      </c>
      <c r="K3" s="79"/>
      <c r="L3" s="109" t="s">
        <v>99</v>
      </c>
      <c r="M3" s="110" t="s">
        <v>100</v>
      </c>
      <c r="N3" s="141" t="s">
        <v>64</v>
      </c>
      <c r="O3" s="79"/>
      <c r="P3" s="133" t="s">
        <v>61</v>
      </c>
      <c r="Q3" s="83"/>
      <c r="R3" s="155" t="s">
        <v>53</v>
      </c>
      <c r="S3" s="110" t="s">
        <v>101</v>
      </c>
      <c r="T3" s="160" t="s">
        <v>63</v>
      </c>
      <c r="U3" s="53"/>
      <c r="V3" s="155" t="s">
        <v>73</v>
      </c>
      <c r="W3" s="119" t="s">
        <v>102</v>
      </c>
      <c r="X3" s="161" t="s">
        <v>68</v>
      </c>
      <c r="Z3" s="139" t="s">
        <v>54</v>
      </c>
      <c r="AA3" s="163" t="s">
        <v>51</v>
      </c>
      <c r="AB3" s="164" t="s">
        <v>51</v>
      </c>
      <c r="AC3" s="124"/>
      <c r="AD3" s="139" t="s">
        <v>55</v>
      </c>
      <c r="AE3" s="163" t="s">
        <v>52</v>
      </c>
      <c r="AF3" s="164" t="s">
        <v>52</v>
      </c>
      <c r="AG3" s="83"/>
      <c r="AH3" s="140"/>
      <c r="AI3" s="162"/>
    </row>
    <row r="4" spans="2:35" x14ac:dyDescent="0.2">
      <c r="B4" s="140">
        <v>1</v>
      </c>
      <c r="C4" s="87" t="s">
        <v>0</v>
      </c>
      <c r="D4" s="134">
        <v>407</v>
      </c>
      <c r="E4" s="61">
        <v>342</v>
      </c>
      <c r="F4" s="111">
        <f t="shared" ref="F4:F28" si="0">E4-D4</f>
        <v>-65</v>
      </c>
      <c r="G4" s="77"/>
      <c r="H4" s="52">
        <v>177</v>
      </c>
      <c r="I4" s="54">
        <v>141</v>
      </c>
      <c r="J4" s="70">
        <f t="shared" ref="J4:J28" si="1">I4-H4</f>
        <v>-36</v>
      </c>
      <c r="K4" s="80"/>
      <c r="L4" s="52">
        <v>113</v>
      </c>
      <c r="M4" s="54">
        <v>88</v>
      </c>
      <c r="N4" s="70">
        <f t="shared" ref="N4:N28" si="2">M4-L4</f>
        <v>-25</v>
      </c>
      <c r="O4" s="80"/>
      <c r="P4" s="64">
        <f>F4+J4+N4</f>
        <v>-126</v>
      </c>
      <c r="Q4" s="84"/>
      <c r="R4" s="156">
        <v>1112</v>
      </c>
      <c r="S4" s="54">
        <v>997</v>
      </c>
      <c r="T4" s="66">
        <f>SUM(S4-R4)</f>
        <v>-115</v>
      </c>
      <c r="U4" s="55"/>
      <c r="V4" s="156">
        <v>1085</v>
      </c>
      <c r="W4" s="116">
        <v>1000</v>
      </c>
      <c r="X4" s="116">
        <f>SUM(W4-V4)</f>
        <v>-85</v>
      </c>
      <c r="Z4" s="64">
        <f>RANK(P4,$P$4:$P$28,1)+COUNTIF($P$4:P4,P4)-1</f>
        <v>7</v>
      </c>
      <c r="AA4" s="67" t="str">
        <f>INDEX(C4:P28,MATCH(1,Z4:Z28,0),1)</f>
        <v>jarosławski</v>
      </c>
      <c r="AB4" s="54">
        <f>INDEX(C4:P28,MATCH(1,Z4:Z28,0),14)</f>
        <v>-413</v>
      </c>
      <c r="AC4" s="125"/>
      <c r="AD4" s="64">
        <f>RANK(T4,$T$4:$T$28,1)+COUNTIF($T$4:T4,T4)-1</f>
        <v>13</v>
      </c>
      <c r="AE4" s="67" t="str">
        <f>INDEX(C4:T28,MATCH(1,AD4:AD28,0),1)</f>
        <v>jarosławski</v>
      </c>
      <c r="AF4" s="54">
        <f>INDEX(C4:T28,MATCH(1,AD4:AD28,0),18)</f>
        <v>-452</v>
      </c>
      <c r="AG4" s="85"/>
      <c r="AH4" s="129">
        <v>1</v>
      </c>
      <c r="AI4" s="131">
        <f>SUM(Z4)-AD4</f>
        <v>-6</v>
      </c>
    </row>
    <row r="5" spans="2:35" x14ac:dyDescent="0.2">
      <c r="B5" s="140">
        <v>2</v>
      </c>
      <c r="C5" s="88" t="s">
        <v>1</v>
      </c>
      <c r="D5" s="135">
        <v>1116</v>
      </c>
      <c r="E5" s="62">
        <v>1063</v>
      </c>
      <c r="F5" s="112">
        <f t="shared" si="0"/>
        <v>-53</v>
      </c>
      <c r="G5" s="77"/>
      <c r="H5" s="57">
        <v>309</v>
      </c>
      <c r="I5" s="56">
        <v>348</v>
      </c>
      <c r="J5" s="71">
        <f t="shared" si="1"/>
        <v>39</v>
      </c>
      <c r="K5" s="80"/>
      <c r="L5" s="57">
        <v>168</v>
      </c>
      <c r="M5" s="56">
        <v>153</v>
      </c>
      <c r="N5" s="71">
        <f t="shared" si="2"/>
        <v>-15</v>
      </c>
      <c r="O5" s="80"/>
      <c r="P5" s="137">
        <f>F5+J5+N5</f>
        <v>-29</v>
      </c>
      <c r="Q5" s="84"/>
      <c r="R5" s="157">
        <v>4038</v>
      </c>
      <c r="S5" s="56">
        <v>3608</v>
      </c>
      <c r="T5" s="75">
        <f t="shared" ref="T5:T28" si="3">SUM(S5-R5)</f>
        <v>-430</v>
      </c>
      <c r="U5" s="55"/>
      <c r="V5" s="157">
        <v>3848</v>
      </c>
      <c r="W5" s="117">
        <v>3484</v>
      </c>
      <c r="X5" s="117">
        <f t="shared" ref="X5:X28" si="4">SUM(W5-V5)</f>
        <v>-364</v>
      </c>
      <c r="Z5" s="65">
        <f>RANK(P5,$P$4:$P$28,1)+COUNTIF($P$4:P5,P5)-1</f>
        <v>19</v>
      </c>
      <c r="AA5" s="68" t="str">
        <f>INDEX(C4:P28,MATCH(2,Z4:Z28,0),1)</f>
        <v>leżajski</v>
      </c>
      <c r="AB5" s="56">
        <f>INDEX(C4:P28,MATCH(2,Z4:Z28,0),14)</f>
        <v>-204</v>
      </c>
      <c r="AC5" s="125"/>
      <c r="AD5" s="65">
        <f>RANK(T5,$T$4:$T$28,1)+COUNTIF($T$4:T5,T5)-1</f>
        <v>2</v>
      </c>
      <c r="AE5" s="68" t="str">
        <f>INDEX(C4:T28,MATCH(2,AD4:AD28,0),1)</f>
        <v>brzozowski</v>
      </c>
      <c r="AF5" s="56">
        <f>INDEX(C4:T28,MATCH(2,AD4:AD28,0),18)</f>
        <v>-430</v>
      </c>
      <c r="AG5" s="85"/>
      <c r="AH5" s="129">
        <v>2</v>
      </c>
      <c r="AI5" s="131">
        <f t="shared" ref="AI5:AI28" si="5">SUM(Z5)-AD5</f>
        <v>17</v>
      </c>
    </row>
    <row r="6" spans="2:35" x14ac:dyDescent="0.2">
      <c r="B6" s="140">
        <v>3</v>
      </c>
      <c r="C6" s="88" t="s">
        <v>2</v>
      </c>
      <c r="D6" s="135">
        <v>1106</v>
      </c>
      <c r="E6" s="62">
        <v>1146</v>
      </c>
      <c r="F6" s="112">
        <f t="shared" si="0"/>
        <v>40</v>
      </c>
      <c r="G6" s="77"/>
      <c r="H6" s="57">
        <v>290</v>
      </c>
      <c r="I6" s="56">
        <v>231</v>
      </c>
      <c r="J6" s="71">
        <f t="shared" si="1"/>
        <v>-59</v>
      </c>
      <c r="K6" s="80"/>
      <c r="L6" s="57">
        <v>141</v>
      </c>
      <c r="M6" s="56">
        <v>121</v>
      </c>
      <c r="N6" s="71">
        <f t="shared" si="2"/>
        <v>-20</v>
      </c>
      <c r="O6" s="80"/>
      <c r="P6" s="65">
        <f>F6+J6+N6</f>
        <v>-39</v>
      </c>
      <c r="Q6" s="84"/>
      <c r="R6" s="157">
        <v>2435</v>
      </c>
      <c r="S6" s="56">
        <v>2386</v>
      </c>
      <c r="T6" s="56">
        <f t="shared" si="3"/>
        <v>-49</v>
      </c>
      <c r="U6" s="50"/>
      <c r="V6" s="157">
        <v>2433</v>
      </c>
      <c r="W6" s="117">
        <v>2221</v>
      </c>
      <c r="X6" s="71">
        <f t="shared" si="4"/>
        <v>-212</v>
      </c>
      <c r="Z6" s="65">
        <f>RANK(P6,$P$4:$P$28,1)+COUNTIF($P$4:P6,P6)-1</f>
        <v>18</v>
      </c>
      <c r="AA6" s="68" t="str">
        <f>INDEX(C4:P28,MATCH(3,Z4:Z28,0),1)</f>
        <v>przeworski</v>
      </c>
      <c r="AB6" s="56">
        <f>INDEX(C4:P28,MATCH(3,Z4:Z28,0),14)</f>
        <v>-195</v>
      </c>
      <c r="AC6" s="125"/>
      <c r="AD6" s="65">
        <f>RANK(T6,$T$4:$T$28,1)+COUNTIF($T$4:T6,T6)-1</f>
        <v>18</v>
      </c>
      <c r="AE6" s="68" t="str">
        <f>INDEX(C4:T28,MATCH(3,AD4:AD28,0),1)</f>
        <v>przeworski</v>
      </c>
      <c r="AF6" s="56">
        <f>INDEX(C4:T28,MATCH(3,AD4:AD28,0),18)</f>
        <v>-386</v>
      </c>
      <c r="AG6" s="85"/>
      <c r="AH6" s="129">
        <v>3</v>
      </c>
      <c r="AI6" s="131">
        <f t="shared" si="5"/>
        <v>0</v>
      </c>
    </row>
    <row r="7" spans="2:35" x14ac:dyDescent="0.2">
      <c r="B7" s="140">
        <v>4</v>
      </c>
      <c r="C7" s="88" t="s">
        <v>3</v>
      </c>
      <c r="D7" s="135">
        <v>1727</v>
      </c>
      <c r="E7" s="62">
        <v>1435</v>
      </c>
      <c r="F7" s="112">
        <f t="shared" si="0"/>
        <v>-292</v>
      </c>
      <c r="G7" s="77"/>
      <c r="H7" s="57">
        <v>554</v>
      </c>
      <c r="I7" s="56">
        <v>522</v>
      </c>
      <c r="J7" s="71">
        <f t="shared" si="1"/>
        <v>-32</v>
      </c>
      <c r="K7" s="80"/>
      <c r="L7" s="57">
        <v>294</v>
      </c>
      <c r="M7" s="56">
        <v>205</v>
      </c>
      <c r="N7" s="71">
        <f t="shared" si="2"/>
        <v>-89</v>
      </c>
      <c r="O7" s="80"/>
      <c r="P7" s="137">
        <f t="shared" ref="P7:P28" si="6">F7+J7+N7</f>
        <v>-413</v>
      </c>
      <c r="Q7" s="84"/>
      <c r="R7" s="157">
        <v>4674</v>
      </c>
      <c r="S7" s="56">
        <v>4222</v>
      </c>
      <c r="T7" s="56">
        <f t="shared" si="3"/>
        <v>-452</v>
      </c>
      <c r="U7" s="50"/>
      <c r="V7" s="157">
        <v>4299</v>
      </c>
      <c r="W7" s="117">
        <v>4290</v>
      </c>
      <c r="X7" s="71">
        <f t="shared" si="4"/>
        <v>-9</v>
      </c>
      <c r="Z7" s="65">
        <f>RANK(P7,$P$4:$P$28,1)+COUNTIF($P$4:P7,P7)-1</f>
        <v>1</v>
      </c>
      <c r="AA7" s="68" t="str">
        <f>INDEX(C4:P28,MATCH(4,Z4:Z28,0),1)</f>
        <v>strzyżowski</v>
      </c>
      <c r="AB7" s="56">
        <f>INDEX(C4:P28,MATCH(4,Z4:Z28,0),14)</f>
        <v>-191</v>
      </c>
      <c r="AC7" s="125"/>
      <c r="AD7" s="65">
        <f>RANK(T7,$T$4:$T$28,1)+COUNTIF($T$4:T7,T7)-1</f>
        <v>1</v>
      </c>
      <c r="AE7" s="68" t="str">
        <f>INDEX(C4:T28,MATCH(4,AD4:AD28,0),1)</f>
        <v>przemyski</v>
      </c>
      <c r="AF7" s="56">
        <f>INDEX(C4:T28,MATCH(4,AD4:AD28,0),18)</f>
        <v>-344</v>
      </c>
      <c r="AG7" s="85"/>
      <c r="AH7" s="129">
        <v>4</v>
      </c>
      <c r="AI7" s="131">
        <f t="shared" si="5"/>
        <v>0</v>
      </c>
    </row>
    <row r="8" spans="2:35" x14ac:dyDescent="0.2">
      <c r="B8" s="140">
        <v>5</v>
      </c>
      <c r="C8" s="88" t="s">
        <v>4</v>
      </c>
      <c r="D8" s="135">
        <v>1458</v>
      </c>
      <c r="E8" s="62">
        <v>1451</v>
      </c>
      <c r="F8" s="112">
        <f t="shared" si="0"/>
        <v>-7</v>
      </c>
      <c r="G8" s="77"/>
      <c r="H8" s="57">
        <v>438</v>
      </c>
      <c r="I8" s="56">
        <v>387</v>
      </c>
      <c r="J8" s="71">
        <f t="shared" si="1"/>
        <v>-51</v>
      </c>
      <c r="K8" s="80"/>
      <c r="L8" s="57">
        <v>230</v>
      </c>
      <c r="M8" s="56">
        <v>243</v>
      </c>
      <c r="N8" s="71">
        <f t="shared" si="2"/>
        <v>13</v>
      </c>
      <c r="O8" s="80"/>
      <c r="P8" s="137">
        <f t="shared" si="6"/>
        <v>-45</v>
      </c>
      <c r="Q8" s="84"/>
      <c r="R8" s="157">
        <v>4926</v>
      </c>
      <c r="S8" s="56">
        <v>4709</v>
      </c>
      <c r="T8" s="56">
        <f t="shared" si="3"/>
        <v>-217</v>
      </c>
      <c r="U8" s="50"/>
      <c r="V8" s="157">
        <v>5107</v>
      </c>
      <c r="W8" s="117">
        <v>4706</v>
      </c>
      <c r="X8" s="71">
        <f t="shared" si="4"/>
        <v>-401</v>
      </c>
      <c r="Z8" s="65">
        <f>RANK(P8,$P$4:$P$28,1)+COUNTIF($P$4:P8,P8)-1</f>
        <v>16</v>
      </c>
      <c r="AA8" s="68" t="str">
        <f>INDEX(C4:P28,MATCH(5,Z4:Z28,0),1)</f>
        <v>tarnobrzeski</v>
      </c>
      <c r="AB8" s="56">
        <f>INDEX(C4:P28,MATCH(5,Z4:Z28,0),14)</f>
        <v>-176</v>
      </c>
      <c r="AC8" s="125"/>
      <c r="AD8" s="65">
        <f>RANK(T8,$T$4:$T$28,1)+COUNTIF($T$4:T8,T8)-1</f>
        <v>9</v>
      </c>
      <c r="AE8" s="68" t="str">
        <f>INDEX(C4:T28,MATCH(5,AD4:AD28,0),1)</f>
        <v>rzeszowski</v>
      </c>
      <c r="AF8" s="56">
        <f>INDEX(C4:T28,MATCH(5,AD4:AD28,0),18)</f>
        <v>-344</v>
      </c>
      <c r="AG8" s="85"/>
      <c r="AH8" s="129">
        <v>5</v>
      </c>
      <c r="AI8" s="130">
        <f t="shared" si="5"/>
        <v>7</v>
      </c>
    </row>
    <row r="9" spans="2:35" x14ac:dyDescent="0.2">
      <c r="B9" s="140">
        <v>6</v>
      </c>
      <c r="C9" s="88" t="s">
        <v>5</v>
      </c>
      <c r="D9" s="135">
        <v>639</v>
      </c>
      <c r="E9" s="62">
        <v>603</v>
      </c>
      <c r="F9" s="112">
        <f t="shared" si="0"/>
        <v>-36</v>
      </c>
      <c r="G9" s="77"/>
      <c r="H9" s="57">
        <v>166</v>
      </c>
      <c r="I9" s="56">
        <v>121</v>
      </c>
      <c r="J9" s="71">
        <f t="shared" si="1"/>
        <v>-45</v>
      </c>
      <c r="K9" s="80"/>
      <c r="L9" s="57">
        <v>131</v>
      </c>
      <c r="M9" s="56">
        <v>103</v>
      </c>
      <c r="N9" s="71">
        <f t="shared" si="2"/>
        <v>-28</v>
      </c>
      <c r="O9" s="80"/>
      <c r="P9" s="137">
        <f t="shared" si="6"/>
        <v>-109</v>
      </c>
      <c r="Q9" s="84"/>
      <c r="R9" s="157">
        <v>1577</v>
      </c>
      <c r="S9" s="56">
        <v>1528</v>
      </c>
      <c r="T9" s="56">
        <f t="shared" si="3"/>
        <v>-49</v>
      </c>
      <c r="U9" s="50"/>
      <c r="V9" s="157">
        <v>1494</v>
      </c>
      <c r="W9" s="117">
        <v>1505</v>
      </c>
      <c r="X9" s="71">
        <f t="shared" si="4"/>
        <v>11</v>
      </c>
      <c r="Z9" s="65">
        <f>RANK(P9,$P$4:$P$28,1)+COUNTIF($P$4:P9,P9)-1</f>
        <v>8</v>
      </c>
      <c r="AA9" s="68" t="str">
        <f>INDEX(C4:P28,MATCH(6,Z4:Z28,0),1)</f>
        <v>Rzeszów</v>
      </c>
      <c r="AB9" s="56">
        <f>INDEX(C4:P28,MATCH(6,Z4:Z28,0),14)</f>
        <v>-139</v>
      </c>
      <c r="AC9" s="125"/>
      <c r="AD9" s="65">
        <f>RANK(T9,$T$4:$T$28,1)+COUNTIF($T$4:T9,T9)-1</f>
        <v>19</v>
      </c>
      <c r="AE9" s="68" t="str">
        <f>INDEX(C4:T28,MATCH(6,AD4:AD28,0),1)</f>
        <v>leżajski</v>
      </c>
      <c r="AF9" s="56">
        <f>INDEX(C4:T28,MATCH(6,AD4:AD28,0),18)</f>
        <v>-265</v>
      </c>
      <c r="AG9" s="85"/>
      <c r="AH9" s="129">
        <v>6</v>
      </c>
      <c r="AI9" s="130">
        <f t="shared" si="5"/>
        <v>-11</v>
      </c>
    </row>
    <row r="10" spans="2:35" x14ac:dyDescent="0.2">
      <c r="B10" s="140">
        <v>7</v>
      </c>
      <c r="C10" s="88" t="s">
        <v>6</v>
      </c>
      <c r="D10" s="135">
        <v>894</v>
      </c>
      <c r="E10" s="62">
        <v>956</v>
      </c>
      <c r="F10" s="112">
        <f t="shared" si="0"/>
        <v>62</v>
      </c>
      <c r="G10" s="77"/>
      <c r="H10" s="57">
        <v>189</v>
      </c>
      <c r="I10" s="56">
        <v>176</v>
      </c>
      <c r="J10" s="71">
        <f t="shared" si="1"/>
        <v>-13</v>
      </c>
      <c r="K10" s="80"/>
      <c r="L10" s="57">
        <v>95</v>
      </c>
      <c r="M10" s="56">
        <v>107</v>
      </c>
      <c r="N10" s="71">
        <f t="shared" si="2"/>
        <v>12</v>
      </c>
      <c r="O10" s="80"/>
      <c r="P10" s="137">
        <f>F10+J10+N10</f>
        <v>61</v>
      </c>
      <c r="Q10" s="84"/>
      <c r="R10" s="157">
        <v>2018</v>
      </c>
      <c r="S10" s="56">
        <v>2095</v>
      </c>
      <c r="T10" s="75">
        <f t="shared" si="3"/>
        <v>77</v>
      </c>
      <c r="U10" s="50"/>
      <c r="V10" s="157">
        <v>2221</v>
      </c>
      <c r="W10" s="117">
        <v>2158</v>
      </c>
      <c r="X10" s="71">
        <f t="shared" si="4"/>
        <v>-63</v>
      </c>
      <c r="Z10" s="65">
        <f>RANK(P10,$P$4:$P$28,1)+COUNTIF($P$4:P10,P10)-1</f>
        <v>23</v>
      </c>
      <c r="AA10" s="68" t="str">
        <f>INDEX(C4:P28,MATCH(7,Z4:Z28,0),1)</f>
        <v>bieszczadzki</v>
      </c>
      <c r="AB10" s="56">
        <f>INDEX(C4:P28,MATCH(7,Z4:Z28,0),14)</f>
        <v>-126</v>
      </c>
      <c r="AC10" s="125"/>
      <c r="AD10" s="65">
        <f>RANK(T10,$T$4:$T$28,1)+COUNTIF($T$4:T10,T10)-1</f>
        <v>24</v>
      </c>
      <c r="AE10" s="68" t="str">
        <f>INDEX(C4:T28,MATCH(7,AD4:AD28,0),1)</f>
        <v>strzyżowski</v>
      </c>
      <c r="AF10" s="56">
        <f>INDEX(C4:T28,MATCH(7,AD4:AD28,0),18)</f>
        <v>-259</v>
      </c>
      <c r="AG10" s="85"/>
      <c r="AH10" s="129">
        <v>7</v>
      </c>
      <c r="AI10" s="130">
        <f t="shared" si="5"/>
        <v>-1</v>
      </c>
    </row>
    <row r="11" spans="2:35" x14ac:dyDescent="0.2">
      <c r="B11" s="140">
        <v>8</v>
      </c>
      <c r="C11" s="88" t="s">
        <v>7</v>
      </c>
      <c r="D11" s="135">
        <v>610</v>
      </c>
      <c r="E11" s="62">
        <v>589</v>
      </c>
      <c r="F11" s="112">
        <f t="shared" si="0"/>
        <v>-21</v>
      </c>
      <c r="G11" s="77"/>
      <c r="H11" s="57">
        <v>180</v>
      </c>
      <c r="I11" s="56">
        <v>129</v>
      </c>
      <c r="J11" s="71">
        <f t="shared" si="1"/>
        <v>-51</v>
      </c>
      <c r="K11" s="80"/>
      <c r="L11" s="57">
        <v>63</v>
      </c>
      <c r="M11" s="56">
        <v>75</v>
      </c>
      <c r="N11" s="71">
        <f t="shared" si="2"/>
        <v>12</v>
      </c>
      <c r="O11" s="80"/>
      <c r="P11" s="137">
        <f t="shared" si="6"/>
        <v>-60</v>
      </c>
      <c r="Q11" s="84"/>
      <c r="R11" s="157">
        <v>1747</v>
      </c>
      <c r="S11" s="56">
        <v>1510</v>
      </c>
      <c r="T11" s="56">
        <f t="shared" si="3"/>
        <v>-237</v>
      </c>
      <c r="U11" s="50"/>
      <c r="V11" s="157">
        <v>1716</v>
      </c>
      <c r="W11" s="117">
        <v>1492</v>
      </c>
      <c r="X11" s="71">
        <f t="shared" si="4"/>
        <v>-224</v>
      </c>
      <c r="Z11" s="65">
        <f>RANK(P11,$P$4:$P$28,1)+COUNTIF($P$4:P11,P11)-1</f>
        <v>15</v>
      </c>
      <c r="AA11" s="68" t="str">
        <f>INDEX(C4:P28,MATCH(8,Z4:Z28,0),1)</f>
        <v>kolbuszowski</v>
      </c>
      <c r="AB11" s="56">
        <f>INDEX(C4:P28,MATCH(8,Z4:Z28,0),14)</f>
        <v>-109</v>
      </c>
      <c r="AC11" s="125"/>
      <c r="AD11" s="65">
        <f>RANK(T11,$T$4:$T$28,1)+COUNTIF($T$4:T11,T11)-1</f>
        <v>8</v>
      </c>
      <c r="AE11" s="68" t="str">
        <f>INDEX(C4:T28,MATCH(8,AD4:AD28,0),1)</f>
        <v>leski</v>
      </c>
      <c r="AF11" s="56">
        <f>INDEX(C4:T28,MATCH(8,AD4:AD28,0),18)</f>
        <v>-237</v>
      </c>
      <c r="AG11" s="85"/>
      <c r="AH11" s="129">
        <v>8</v>
      </c>
      <c r="AI11" s="130">
        <f t="shared" si="5"/>
        <v>7</v>
      </c>
    </row>
    <row r="12" spans="2:35" x14ac:dyDescent="0.2">
      <c r="B12" s="140">
        <v>9</v>
      </c>
      <c r="C12" s="88" t="s">
        <v>8</v>
      </c>
      <c r="D12" s="135">
        <v>927</v>
      </c>
      <c r="E12" s="62">
        <v>808</v>
      </c>
      <c r="F12" s="112">
        <f t="shared" si="0"/>
        <v>-119</v>
      </c>
      <c r="G12" s="77"/>
      <c r="H12" s="57">
        <v>319</v>
      </c>
      <c r="I12" s="56">
        <v>304</v>
      </c>
      <c r="J12" s="71">
        <f t="shared" si="1"/>
        <v>-15</v>
      </c>
      <c r="K12" s="80"/>
      <c r="L12" s="57">
        <v>385</v>
      </c>
      <c r="M12" s="56">
        <v>315</v>
      </c>
      <c r="N12" s="71">
        <f t="shared" si="2"/>
        <v>-70</v>
      </c>
      <c r="O12" s="80"/>
      <c r="P12" s="137">
        <f t="shared" si="6"/>
        <v>-204</v>
      </c>
      <c r="Q12" s="84"/>
      <c r="R12" s="157">
        <v>3198</v>
      </c>
      <c r="S12" s="56">
        <v>2933</v>
      </c>
      <c r="T12" s="56">
        <f t="shared" si="3"/>
        <v>-265</v>
      </c>
      <c r="U12" s="50"/>
      <c r="V12" s="157">
        <v>3105</v>
      </c>
      <c r="W12" s="117">
        <v>2812</v>
      </c>
      <c r="X12" s="71">
        <f t="shared" si="4"/>
        <v>-293</v>
      </c>
      <c r="Z12" s="65">
        <f>RANK(P12,$P$4:$P$28,1)+COUNTIF($P$4:P12,P12)-1</f>
        <v>2</v>
      </c>
      <c r="AA12" s="68" t="str">
        <f>INDEX(C4:P28,MATCH(9,Z4:Z28,0),1)</f>
        <v>łańcucki</v>
      </c>
      <c r="AB12" s="56">
        <f>INDEX(C4:P28,MATCH(9,Z4:Z28,0),14)</f>
        <v>-98</v>
      </c>
      <c r="AC12" s="125"/>
      <c r="AD12" s="65">
        <f>RANK(T12,$T$4:$T$28,1)+COUNTIF($T$4:T12,T12)-1</f>
        <v>6</v>
      </c>
      <c r="AE12" s="68" t="str">
        <f>INDEX(C4:T28,MATCH(9,AD4:AD28,0),1)</f>
        <v>jasielski</v>
      </c>
      <c r="AF12" s="56">
        <f>INDEX(C4:T28,MATCH(9,AD4:AD28,0),18)</f>
        <v>-217</v>
      </c>
      <c r="AG12" s="85"/>
      <c r="AH12" s="129">
        <v>9</v>
      </c>
      <c r="AI12" s="130">
        <f t="shared" si="5"/>
        <v>-4</v>
      </c>
    </row>
    <row r="13" spans="2:35" x14ac:dyDescent="0.2">
      <c r="B13" s="140">
        <v>10</v>
      </c>
      <c r="C13" s="88" t="s">
        <v>9</v>
      </c>
      <c r="D13" s="135">
        <v>711</v>
      </c>
      <c r="E13" s="62">
        <v>712</v>
      </c>
      <c r="F13" s="112">
        <f t="shared" si="0"/>
        <v>1</v>
      </c>
      <c r="G13" s="77"/>
      <c r="H13" s="57">
        <v>193</v>
      </c>
      <c r="I13" s="56">
        <v>185</v>
      </c>
      <c r="J13" s="71">
        <f t="shared" si="1"/>
        <v>-8</v>
      </c>
      <c r="K13" s="80"/>
      <c r="L13" s="57">
        <v>233</v>
      </c>
      <c r="M13" s="56">
        <v>175</v>
      </c>
      <c r="N13" s="71">
        <f t="shared" si="2"/>
        <v>-58</v>
      </c>
      <c r="O13" s="80"/>
      <c r="P13" s="137">
        <f t="shared" si="6"/>
        <v>-65</v>
      </c>
      <c r="Q13" s="84"/>
      <c r="R13" s="157">
        <v>1831</v>
      </c>
      <c r="S13" s="56">
        <v>1616</v>
      </c>
      <c r="T13" s="56">
        <f t="shared" si="3"/>
        <v>-215</v>
      </c>
      <c r="U13" s="50"/>
      <c r="V13" s="157">
        <v>1867</v>
      </c>
      <c r="W13" s="117">
        <v>1594</v>
      </c>
      <c r="X13" s="71">
        <f t="shared" si="4"/>
        <v>-273</v>
      </c>
      <c r="Z13" s="65">
        <f>RANK(P13,$P$4:$P$28,1)+COUNTIF($P$4:P13,P13)-1</f>
        <v>13</v>
      </c>
      <c r="AA13" s="68" t="str">
        <f>INDEX(C4:P28,MATCH(10,Z4:Z28,0),1)</f>
        <v>niżański</v>
      </c>
      <c r="AB13" s="56">
        <f>INDEX(C4:P28,MATCH(10,Z4:Z28,0),14)</f>
        <v>-85</v>
      </c>
      <c r="AC13" s="125"/>
      <c r="AD13" s="65">
        <f>RANK(T13,$T$4:$T$28,1)+COUNTIF($T$4:T13,T13)-1</f>
        <v>10</v>
      </c>
      <c r="AE13" s="68" t="str">
        <f>INDEX(C4:T28,MATCH(10,AD4:AD28,0),1)</f>
        <v>lubaczowski</v>
      </c>
      <c r="AF13" s="56">
        <f>INDEX(C4:T28,MATCH(10,AD4:AD28,0),18)</f>
        <v>-215</v>
      </c>
      <c r="AG13" s="85"/>
      <c r="AH13" s="129">
        <v>10</v>
      </c>
      <c r="AI13" s="130">
        <f t="shared" si="5"/>
        <v>3</v>
      </c>
    </row>
    <row r="14" spans="2:35" x14ac:dyDescent="0.2">
      <c r="B14" s="140">
        <v>11</v>
      </c>
      <c r="C14" s="88" t="s">
        <v>10</v>
      </c>
      <c r="D14" s="135">
        <v>1067</v>
      </c>
      <c r="E14" s="62">
        <v>1009</v>
      </c>
      <c r="F14" s="112">
        <f t="shared" si="0"/>
        <v>-58</v>
      </c>
      <c r="G14" s="77"/>
      <c r="H14" s="57">
        <v>352</v>
      </c>
      <c r="I14" s="56">
        <v>313</v>
      </c>
      <c r="J14" s="71">
        <f t="shared" si="1"/>
        <v>-39</v>
      </c>
      <c r="K14" s="80"/>
      <c r="L14" s="57">
        <v>164</v>
      </c>
      <c r="M14" s="56">
        <v>163</v>
      </c>
      <c r="N14" s="71">
        <f t="shared" si="2"/>
        <v>-1</v>
      </c>
      <c r="O14" s="80"/>
      <c r="P14" s="65">
        <f t="shared" si="6"/>
        <v>-98</v>
      </c>
      <c r="Q14" s="84"/>
      <c r="R14" s="157">
        <v>2629</v>
      </c>
      <c r="S14" s="56">
        <v>2519</v>
      </c>
      <c r="T14" s="56">
        <f t="shared" si="3"/>
        <v>-110</v>
      </c>
      <c r="U14" s="50"/>
      <c r="V14" s="157">
        <v>2547</v>
      </c>
      <c r="W14" s="117">
        <v>2387</v>
      </c>
      <c r="X14" s="71">
        <f t="shared" si="4"/>
        <v>-160</v>
      </c>
      <c r="Z14" s="65">
        <f>RANK(P14,$P$4:$P$28,1)+COUNTIF($P$4:P14,P14)-1</f>
        <v>9</v>
      </c>
      <c r="AA14" s="68" t="str">
        <f>INDEX(C4:P28,MATCH(11,Z4:Z28,0),1)</f>
        <v>stalowowolski</v>
      </c>
      <c r="AB14" s="56">
        <f>INDEX(C4:P28,MATCH(11,Z4:Z28,0),14)</f>
        <v>-85</v>
      </c>
      <c r="AC14" s="125"/>
      <c r="AD14" s="65">
        <f>RANK(T14,$T$4:$T$28,1)+COUNTIF($T$4:T14,T14)-1</f>
        <v>15</v>
      </c>
      <c r="AE14" s="68" t="str">
        <f>INDEX(C4:T28,MATCH(11,AD4:AD28,0),1)</f>
        <v>ropczycko-sędziszowski</v>
      </c>
      <c r="AF14" s="56">
        <f>INDEX(C4:T28,MATCH(11,AD4:AD28,0),18)</f>
        <v>-200</v>
      </c>
      <c r="AG14" s="85"/>
      <c r="AH14" s="129">
        <v>11</v>
      </c>
      <c r="AI14" s="130">
        <f t="shared" si="5"/>
        <v>-6</v>
      </c>
    </row>
    <row r="15" spans="2:35" x14ac:dyDescent="0.2">
      <c r="B15" s="140">
        <v>12</v>
      </c>
      <c r="C15" s="88" t="s">
        <v>11</v>
      </c>
      <c r="D15" s="135">
        <v>1470</v>
      </c>
      <c r="E15" s="62">
        <v>1533</v>
      </c>
      <c r="F15" s="112">
        <f t="shared" si="0"/>
        <v>63</v>
      </c>
      <c r="G15" s="77"/>
      <c r="H15" s="57">
        <v>348</v>
      </c>
      <c r="I15" s="56">
        <v>311</v>
      </c>
      <c r="J15" s="71">
        <f t="shared" si="1"/>
        <v>-37</v>
      </c>
      <c r="K15" s="80"/>
      <c r="L15" s="57">
        <v>288</v>
      </c>
      <c r="M15" s="56">
        <v>199</v>
      </c>
      <c r="N15" s="71">
        <f t="shared" si="2"/>
        <v>-89</v>
      </c>
      <c r="O15" s="80"/>
      <c r="P15" s="65">
        <f t="shared" si="6"/>
        <v>-63</v>
      </c>
      <c r="Q15" s="84"/>
      <c r="R15" s="157">
        <v>2517</v>
      </c>
      <c r="S15" s="56">
        <v>2837</v>
      </c>
      <c r="T15" s="56">
        <f t="shared" si="3"/>
        <v>320</v>
      </c>
      <c r="U15" s="50"/>
      <c r="V15" s="157">
        <v>3017</v>
      </c>
      <c r="W15" s="117">
        <v>2993</v>
      </c>
      <c r="X15" s="71">
        <f t="shared" si="4"/>
        <v>-24</v>
      </c>
      <c r="Z15" s="65">
        <f>RANK(P15,$P$4:$P$28,1)+COUNTIF($P$4:P15,P15)-1</f>
        <v>14</v>
      </c>
      <c r="AA15" s="68" t="str">
        <f>INDEX(C4:P28,MATCH(12,Z4:Z28,0),1)</f>
        <v>Tarnobrzeg</v>
      </c>
      <c r="AB15" s="56">
        <f>INDEX(C4:P28,MATCH(12,Z4:Z28,0),14)</f>
        <v>-74</v>
      </c>
      <c r="AC15" s="125"/>
      <c r="AD15" s="126">
        <f>RANK(T15,$T$4:$T$28,1)+COUNTIF($T$4:T15,T15)-1</f>
        <v>25</v>
      </c>
      <c r="AE15" s="68" t="str">
        <f>INDEX(C4:T28,MATCH(12,AD4:AD28,0),1)</f>
        <v>Rzeszów</v>
      </c>
      <c r="AF15" s="56">
        <f>INDEX(C4:T28,MATCH(12,AD4:AD28,0),18)</f>
        <v>-148</v>
      </c>
      <c r="AG15" s="85"/>
      <c r="AH15" s="129">
        <v>12</v>
      </c>
      <c r="AI15" s="130">
        <f t="shared" si="5"/>
        <v>-11</v>
      </c>
    </row>
    <row r="16" spans="2:35" x14ac:dyDescent="0.2">
      <c r="B16" s="140">
        <v>13</v>
      </c>
      <c r="C16" s="88" t="s">
        <v>12</v>
      </c>
      <c r="D16" s="135">
        <v>788</v>
      </c>
      <c r="E16" s="62">
        <v>786</v>
      </c>
      <c r="F16" s="112">
        <f t="shared" si="0"/>
        <v>-2</v>
      </c>
      <c r="G16" s="77"/>
      <c r="H16" s="57">
        <v>341</v>
      </c>
      <c r="I16" s="56">
        <v>339</v>
      </c>
      <c r="J16" s="71">
        <f t="shared" si="1"/>
        <v>-2</v>
      </c>
      <c r="K16" s="80"/>
      <c r="L16" s="57">
        <v>239</v>
      </c>
      <c r="M16" s="56">
        <v>158</v>
      </c>
      <c r="N16" s="71">
        <f t="shared" si="2"/>
        <v>-81</v>
      </c>
      <c r="O16" s="80"/>
      <c r="P16" s="65">
        <f t="shared" si="6"/>
        <v>-85</v>
      </c>
      <c r="Q16" s="84"/>
      <c r="R16" s="157">
        <v>3116</v>
      </c>
      <c r="S16" s="56">
        <v>3032</v>
      </c>
      <c r="T16" s="56">
        <f t="shared" si="3"/>
        <v>-84</v>
      </c>
      <c r="U16" s="50"/>
      <c r="V16" s="157">
        <v>3043</v>
      </c>
      <c r="W16" s="117">
        <v>2878</v>
      </c>
      <c r="X16" s="71">
        <f t="shared" si="4"/>
        <v>-165</v>
      </c>
      <c r="Z16" s="65">
        <f>RANK(P16,$P$4:$P$28,1)+COUNTIF($P$4:P16,P16)-1</f>
        <v>10</v>
      </c>
      <c r="AA16" s="68" t="str">
        <f>INDEX(C4:P28,MATCH(13,Z4:Z28,0),1)</f>
        <v>lubaczowski</v>
      </c>
      <c r="AB16" s="56">
        <f>INDEX(C4:P28,MATCH(13,Z4:Z28,0),14)</f>
        <v>-65</v>
      </c>
      <c r="AC16" s="125"/>
      <c r="AD16" s="126">
        <f>RANK(T16,$T$4:$T$28,1)+COUNTIF($T$4:T16,T16)-1</f>
        <v>16</v>
      </c>
      <c r="AE16" s="68" t="str">
        <f>INDEX(C4:T28,MATCH(13,AD4:AD28,0),1)</f>
        <v>bieszczadzki</v>
      </c>
      <c r="AF16" s="56">
        <f>INDEX(C4:T28,MATCH(13,AD4:AD28,0),18)</f>
        <v>-115</v>
      </c>
      <c r="AG16" s="85"/>
      <c r="AH16" s="129">
        <v>13</v>
      </c>
      <c r="AI16" s="130">
        <f t="shared" si="5"/>
        <v>-6</v>
      </c>
    </row>
    <row r="17" spans="2:35" x14ac:dyDescent="0.2">
      <c r="B17" s="140">
        <v>14</v>
      </c>
      <c r="C17" s="88" t="s">
        <v>13</v>
      </c>
      <c r="D17" s="135">
        <v>832</v>
      </c>
      <c r="E17" s="62">
        <v>882</v>
      </c>
      <c r="F17" s="112">
        <f t="shared" si="0"/>
        <v>50</v>
      </c>
      <c r="G17" s="77"/>
      <c r="H17" s="57">
        <v>289</v>
      </c>
      <c r="I17" s="56">
        <v>326</v>
      </c>
      <c r="J17" s="71">
        <f t="shared" si="1"/>
        <v>37</v>
      </c>
      <c r="K17" s="80"/>
      <c r="L17" s="57">
        <v>73</v>
      </c>
      <c r="M17" s="56">
        <v>65</v>
      </c>
      <c r="N17" s="71">
        <f t="shared" si="2"/>
        <v>-8</v>
      </c>
      <c r="O17" s="80"/>
      <c r="P17" s="65">
        <f t="shared" si="6"/>
        <v>79</v>
      </c>
      <c r="Q17" s="84"/>
      <c r="R17" s="157">
        <v>3084</v>
      </c>
      <c r="S17" s="56">
        <v>2740</v>
      </c>
      <c r="T17" s="56">
        <f t="shared" si="3"/>
        <v>-344</v>
      </c>
      <c r="U17" s="50"/>
      <c r="V17" s="157">
        <v>2963</v>
      </c>
      <c r="W17" s="117">
        <v>2771</v>
      </c>
      <c r="X17" s="71">
        <f t="shared" si="4"/>
        <v>-192</v>
      </c>
      <c r="Z17" s="65">
        <f>RANK(P17,$P$4:$P$28,1)+COUNTIF($P$4:P17,P17)-1</f>
        <v>25</v>
      </c>
      <c r="AA17" s="68" t="str">
        <f>INDEX(C4:P28,MATCH(14,Z4:Z28,0),1)</f>
        <v>mielecki</v>
      </c>
      <c r="AB17" s="56">
        <f>INDEX(C4:P28,MATCH(14,Z4:Z28,0),14)</f>
        <v>-63</v>
      </c>
      <c r="AC17" s="125"/>
      <c r="AD17" s="126">
        <f>RANK(T17,$T$4:$T$28,1)+COUNTIF($T$4:T17,T17)-1</f>
        <v>4</v>
      </c>
      <c r="AE17" s="68" t="str">
        <f>INDEX(C4:T28,MATCH(14,AD4:AD28,0),1)</f>
        <v>Przemyśl</v>
      </c>
      <c r="AF17" s="56">
        <f>INDEX(C4:T28,MATCH(14,AD4:AD28,0),18)</f>
        <v>-113</v>
      </c>
      <c r="AG17" s="85"/>
      <c r="AH17" s="129">
        <v>14</v>
      </c>
      <c r="AI17" s="130">
        <f t="shared" si="5"/>
        <v>21</v>
      </c>
    </row>
    <row r="18" spans="2:35" x14ac:dyDescent="0.2">
      <c r="B18" s="140">
        <v>15</v>
      </c>
      <c r="C18" s="88" t="s">
        <v>14</v>
      </c>
      <c r="D18" s="135">
        <v>1251</v>
      </c>
      <c r="E18" s="62">
        <v>1246</v>
      </c>
      <c r="F18" s="112">
        <f t="shared" si="0"/>
        <v>-5</v>
      </c>
      <c r="G18" s="77"/>
      <c r="H18" s="57">
        <v>537</v>
      </c>
      <c r="I18" s="56">
        <v>408</v>
      </c>
      <c r="J18" s="71">
        <f t="shared" si="1"/>
        <v>-129</v>
      </c>
      <c r="K18" s="80"/>
      <c r="L18" s="57">
        <v>331</v>
      </c>
      <c r="M18" s="56">
        <v>270</v>
      </c>
      <c r="N18" s="71">
        <f t="shared" si="2"/>
        <v>-61</v>
      </c>
      <c r="O18" s="80"/>
      <c r="P18" s="137">
        <f>F18+J18+N18</f>
        <v>-195</v>
      </c>
      <c r="Q18" s="84"/>
      <c r="R18" s="157">
        <v>3654</v>
      </c>
      <c r="S18" s="56">
        <v>3268</v>
      </c>
      <c r="T18" s="56">
        <f t="shared" si="3"/>
        <v>-386</v>
      </c>
      <c r="U18" s="50"/>
      <c r="V18" s="157">
        <v>3397</v>
      </c>
      <c r="W18" s="117">
        <v>3169</v>
      </c>
      <c r="X18" s="71">
        <f t="shared" si="4"/>
        <v>-228</v>
      </c>
      <c r="Z18" s="65">
        <f>RANK(P18,$P$4:$P$28,1)+COUNTIF($P$4:P18,P18)-1</f>
        <v>3</v>
      </c>
      <c r="AA18" s="68" t="str">
        <f>INDEX(C4:P28,MATCH(15,Z4:Z28,0),1)</f>
        <v>leski</v>
      </c>
      <c r="AB18" s="56">
        <f>INDEX(C4:P28,MATCH(15,Z4:Z28,0),14)</f>
        <v>-60</v>
      </c>
      <c r="AC18" s="125"/>
      <c r="AD18" s="126">
        <f>RANK(T18,$T$4:$T$28,1)+COUNTIF($T$4:T18,T18)-1</f>
        <v>3</v>
      </c>
      <c r="AE18" s="68" t="str">
        <f>INDEX(C4:T28,MATCH(15,AD4:AD28,0),1)</f>
        <v>łańcucki</v>
      </c>
      <c r="AF18" s="56">
        <f>INDEX(C4:T28,MATCH(15,AD4:AD28,0),18)</f>
        <v>-110</v>
      </c>
      <c r="AG18" s="85"/>
      <c r="AH18" s="129">
        <v>15</v>
      </c>
      <c r="AI18" s="130">
        <f t="shared" si="5"/>
        <v>0</v>
      </c>
    </row>
    <row r="19" spans="2:35" ht="12" customHeight="1" x14ac:dyDescent="0.2">
      <c r="B19" s="140">
        <v>16</v>
      </c>
      <c r="C19" s="88" t="s">
        <v>15</v>
      </c>
      <c r="D19" s="135">
        <v>1066</v>
      </c>
      <c r="E19" s="62">
        <v>1064</v>
      </c>
      <c r="F19" s="112">
        <f t="shared" si="0"/>
        <v>-2</v>
      </c>
      <c r="G19" s="77"/>
      <c r="H19" s="57">
        <v>282</v>
      </c>
      <c r="I19" s="56">
        <v>242</v>
      </c>
      <c r="J19" s="71">
        <f t="shared" si="1"/>
        <v>-40</v>
      </c>
      <c r="K19" s="80"/>
      <c r="L19" s="57">
        <v>166</v>
      </c>
      <c r="M19" s="56">
        <v>163</v>
      </c>
      <c r="N19" s="71">
        <f t="shared" si="2"/>
        <v>-3</v>
      </c>
      <c r="O19" s="80"/>
      <c r="P19" s="137">
        <f t="shared" si="6"/>
        <v>-45</v>
      </c>
      <c r="Q19" s="84"/>
      <c r="R19" s="157">
        <v>2769</v>
      </c>
      <c r="S19" s="56">
        <v>2569</v>
      </c>
      <c r="T19" s="56">
        <f t="shared" si="3"/>
        <v>-200</v>
      </c>
      <c r="U19" s="50"/>
      <c r="V19" s="157">
        <v>2551</v>
      </c>
      <c r="W19" s="117">
        <v>2570</v>
      </c>
      <c r="X19" s="71">
        <f t="shared" si="4"/>
        <v>19</v>
      </c>
      <c r="Z19" s="65">
        <f>RANK(P19,$P$4:$P$28,1)+COUNTIF($P$4:P19,P19)-1</f>
        <v>17</v>
      </c>
      <c r="AA19" s="68" t="str">
        <f>INDEX(C4:P28,MATCH(16,Z4:Z28,0),1)</f>
        <v>jasielski</v>
      </c>
      <c r="AB19" s="56">
        <f>INDEX(C4:P28,MATCH(16,Z4:Z28,0),14)</f>
        <v>-45</v>
      </c>
      <c r="AC19" s="125"/>
      <c r="AD19" s="126">
        <f>RANK(T19,$T$4:$T$28,1)+COUNTIF($T$4:T19,T19)-1</f>
        <v>11</v>
      </c>
      <c r="AE19" s="68" t="str">
        <f>INDEX(C4:T28,MATCH(16,AD4:AD28,0),1)</f>
        <v>niżański</v>
      </c>
      <c r="AF19" s="56">
        <f>INDEX(C4:T28,MATCH(16,AD4:AD28,0),18)</f>
        <v>-84</v>
      </c>
      <c r="AG19" s="85"/>
      <c r="AH19" s="129">
        <v>16</v>
      </c>
      <c r="AI19" s="130">
        <f t="shared" si="5"/>
        <v>6</v>
      </c>
    </row>
    <row r="20" spans="2:35" x14ac:dyDescent="0.2">
      <c r="B20" s="140">
        <v>17</v>
      </c>
      <c r="C20" s="88" t="s">
        <v>16</v>
      </c>
      <c r="D20" s="135">
        <v>1775</v>
      </c>
      <c r="E20" s="62">
        <v>1740</v>
      </c>
      <c r="F20" s="112">
        <f t="shared" si="0"/>
        <v>-35</v>
      </c>
      <c r="G20" s="77"/>
      <c r="H20" s="57">
        <v>300</v>
      </c>
      <c r="I20" s="56">
        <v>336</v>
      </c>
      <c r="J20" s="71">
        <f t="shared" si="1"/>
        <v>36</v>
      </c>
      <c r="K20" s="80"/>
      <c r="L20" s="57">
        <v>160</v>
      </c>
      <c r="M20" s="56">
        <v>172</v>
      </c>
      <c r="N20" s="71">
        <f t="shared" si="2"/>
        <v>12</v>
      </c>
      <c r="O20" s="80"/>
      <c r="P20" s="65">
        <f t="shared" si="6"/>
        <v>13</v>
      </c>
      <c r="Q20" s="84"/>
      <c r="R20" s="157">
        <v>4962</v>
      </c>
      <c r="S20" s="56">
        <v>4618</v>
      </c>
      <c r="T20" s="56">
        <f t="shared" si="3"/>
        <v>-344</v>
      </c>
      <c r="U20" s="50"/>
      <c r="V20" s="157">
        <v>4670</v>
      </c>
      <c r="W20" s="117">
        <v>4458</v>
      </c>
      <c r="X20" s="71">
        <f t="shared" si="4"/>
        <v>-212</v>
      </c>
      <c r="Z20" s="65">
        <f>RANK(P20,$P$4:$P$28,1)+COUNTIF($P$4:P20,P20)-1</f>
        <v>20</v>
      </c>
      <c r="AA20" s="68" t="str">
        <f>INDEX(C4:P28,MATCH(17,Z4:Z28,0),1)</f>
        <v>ropczycko-sędziszowski</v>
      </c>
      <c r="AB20" s="56">
        <f>INDEX(C4:P28,MATCH(17,Z4:Z28,0),14)</f>
        <v>-45</v>
      </c>
      <c r="AC20" s="125"/>
      <c r="AD20" s="126">
        <f>RANK(T20,$T$4:$T$28,1)+COUNTIF($T$4:T20,T20)-1</f>
        <v>5</v>
      </c>
      <c r="AE20" s="68" t="str">
        <f>INDEX(C4:T28,MATCH(17,AD4:AD28,0),1)</f>
        <v>tarnobrzeski</v>
      </c>
      <c r="AF20" s="56">
        <f>INDEX(C4:T28,MATCH(17,AD4:AD28,0),18)</f>
        <v>-51</v>
      </c>
      <c r="AG20" s="85"/>
      <c r="AH20" s="129">
        <v>17</v>
      </c>
      <c r="AI20" s="130">
        <f t="shared" si="5"/>
        <v>15</v>
      </c>
    </row>
    <row r="21" spans="2:35" x14ac:dyDescent="0.2">
      <c r="B21" s="140">
        <v>18</v>
      </c>
      <c r="C21" s="88" t="s">
        <v>17</v>
      </c>
      <c r="D21" s="135">
        <v>992</v>
      </c>
      <c r="E21" s="62">
        <v>1043</v>
      </c>
      <c r="F21" s="112">
        <f t="shared" si="0"/>
        <v>51</v>
      </c>
      <c r="G21" s="77"/>
      <c r="H21" s="57">
        <v>275</v>
      </c>
      <c r="I21" s="56">
        <v>250</v>
      </c>
      <c r="J21" s="71">
        <f t="shared" si="1"/>
        <v>-25</v>
      </c>
      <c r="K21" s="80"/>
      <c r="L21" s="57">
        <v>100</v>
      </c>
      <c r="M21" s="56">
        <v>93</v>
      </c>
      <c r="N21" s="71">
        <f t="shared" si="2"/>
        <v>-7</v>
      </c>
      <c r="O21" s="80"/>
      <c r="P21" s="65">
        <f t="shared" si="6"/>
        <v>19</v>
      </c>
      <c r="Q21" s="84"/>
      <c r="R21" s="157">
        <v>2644</v>
      </c>
      <c r="S21" s="56">
        <v>2657</v>
      </c>
      <c r="T21" s="56">
        <f t="shared" si="3"/>
        <v>13</v>
      </c>
      <c r="U21" s="50"/>
      <c r="V21" s="157">
        <v>2737</v>
      </c>
      <c r="W21" s="117">
        <v>2721</v>
      </c>
      <c r="X21" s="71">
        <f t="shared" si="4"/>
        <v>-16</v>
      </c>
      <c r="Z21" s="65">
        <f>RANK(P21,$P$4:$P$28,1)+COUNTIF($P$4:P21,P21)-1</f>
        <v>21</v>
      </c>
      <c r="AA21" s="68" t="str">
        <f>INDEX(C4:P28,MATCH(18,Z4:Z28,0),1)</f>
        <v>dębicki</v>
      </c>
      <c r="AB21" s="56">
        <f>INDEX(C4:P28,MATCH(18,Z4:Z28,0),14)</f>
        <v>-39</v>
      </c>
      <c r="AC21" s="125"/>
      <c r="AD21" s="126">
        <f>RANK(T21,$T$4:$T$28,1)+COUNTIF($T$4:T21,T21)-1</f>
        <v>22</v>
      </c>
      <c r="AE21" s="68" t="str">
        <f>INDEX(C4:T28,MATCH(18,AD4:AD28,0),1)</f>
        <v>dębicki</v>
      </c>
      <c r="AF21" s="56">
        <f>INDEX(C4:T28,MATCH(18,AD4:AD28,0),18)</f>
        <v>-49</v>
      </c>
      <c r="AG21" s="85"/>
      <c r="AH21" s="129">
        <v>18</v>
      </c>
      <c r="AI21" s="130">
        <f t="shared" si="5"/>
        <v>-1</v>
      </c>
    </row>
    <row r="22" spans="2:35" x14ac:dyDescent="0.2">
      <c r="B22" s="140">
        <v>19</v>
      </c>
      <c r="C22" s="88" t="s">
        <v>18</v>
      </c>
      <c r="D22" s="135">
        <v>1019</v>
      </c>
      <c r="E22" s="62">
        <v>922</v>
      </c>
      <c r="F22" s="112">
        <f t="shared" si="0"/>
        <v>-97</v>
      </c>
      <c r="G22" s="77"/>
      <c r="H22" s="57">
        <v>172</v>
      </c>
      <c r="I22" s="56">
        <v>181</v>
      </c>
      <c r="J22" s="71">
        <f t="shared" si="1"/>
        <v>9</v>
      </c>
      <c r="K22" s="80"/>
      <c r="L22" s="57">
        <v>144</v>
      </c>
      <c r="M22" s="56">
        <v>147</v>
      </c>
      <c r="N22" s="71">
        <f t="shared" si="2"/>
        <v>3</v>
      </c>
      <c r="O22" s="80"/>
      <c r="P22" s="65">
        <f t="shared" si="6"/>
        <v>-85</v>
      </c>
      <c r="Q22" s="84"/>
      <c r="R22" s="157">
        <v>1841</v>
      </c>
      <c r="S22" s="56">
        <v>1891</v>
      </c>
      <c r="T22" s="56">
        <f t="shared" si="3"/>
        <v>50</v>
      </c>
      <c r="U22" s="50"/>
      <c r="V22" s="157">
        <v>1943</v>
      </c>
      <c r="W22" s="117">
        <v>1960</v>
      </c>
      <c r="X22" s="71">
        <f t="shared" si="4"/>
        <v>17</v>
      </c>
      <c r="Z22" s="65">
        <f>RANK(P22,$P$4:$P$28,1)+COUNTIF($P$4:P22,P22)-1</f>
        <v>11</v>
      </c>
      <c r="AA22" s="68" t="str">
        <f>INDEX(C4:P28,MATCH(19,Z4:Z28,0),1)</f>
        <v>brzozowski</v>
      </c>
      <c r="AB22" s="56">
        <f>INDEX(C4:P28,MATCH(19,Z4:Z28,0),14)</f>
        <v>-29</v>
      </c>
      <c r="AC22" s="125"/>
      <c r="AD22" s="126">
        <f>RANK(T22,$T$4:$T$28,1)+COUNTIF($T$4:T22,T22)-1</f>
        <v>23</v>
      </c>
      <c r="AE22" s="68" t="str">
        <f>INDEX(C4:T28,MATCH(19,AD4:AD28,0),1)</f>
        <v>kolbuszowski</v>
      </c>
      <c r="AF22" s="56">
        <f>INDEX(C4:T28,MATCH(19,AD4:AD28,0),18)</f>
        <v>-49</v>
      </c>
      <c r="AG22" s="85"/>
      <c r="AH22" s="129">
        <v>19</v>
      </c>
      <c r="AI22" s="130">
        <f t="shared" si="5"/>
        <v>-12</v>
      </c>
    </row>
    <row r="23" spans="2:35" x14ac:dyDescent="0.2">
      <c r="B23" s="140">
        <v>20</v>
      </c>
      <c r="C23" s="88" t="s">
        <v>19</v>
      </c>
      <c r="D23" s="135">
        <v>1126</v>
      </c>
      <c r="E23" s="62">
        <v>1156</v>
      </c>
      <c r="F23" s="112">
        <f t="shared" si="0"/>
        <v>30</v>
      </c>
      <c r="G23" s="77"/>
      <c r="H23" s="57">
        <v>315</v>
      </c>
      <c r="I23" s="56">
        <v>291</v>
      </c>
      <c r="J23" s="71">
        <f t="shared" si="1"/>
        <v>-24</v>
      </c>
      <c r="K23" s="80"/>
      <c r="L23" s="57">
        <v>386</v>
      </c>
      <c r="M23" s="56">
        <v>189</v>
      </c>
      <c r="N23" s="71">
        <f t="shared" si="2"/>
        <v>-197</v>
      </c>
      <c r="O23" s="80"/>
      <c r="P23" s="65">
        <f t="shared" si="6"/>
        <v>-191</v>
      </c>
      <c r="Q23" s="84"/>
      <c r="R23" s="157">
        <v>3266</v>
      </c>
      <c r="S23" s="56">
        <v>3007</v>
      </c>
      <c r="T23" s="56">
        <f t="shared" si="3"/>
        <v>-259</v>
      </c>
      <c r="U23" s="50"/>
      <c r="V23" s="157">
        <v>3125</v>
      </c>
      <c r="W23" s="117">
        <v>3042</v>
      </c>
      <c r="X23" s="71">
        <f t="shared" si="4"/>
        <v>-83</v>
      </c>
      <c r="Z23" s="65">
        <f>RANK(P23,$P$4:$P$28,1)+COUNTIF($P$4:P23,P23)-1</f>
        <v>4</v>
      </c>
      <c r="AA23" s="68" t="str">
        <f>INDEX(C4:P28,MATCH(20,Z4:Z28,0),1)</f>
        <v>rzeszowski</v>
      </c>
      <c r="AB23" s="56">
        <f>INDEX(C4:P28,MATCH(20,Z4:Z28,0),14)</f>
        <v>13</v>
      </c>
      <c r="AC23" s="125"/>
      <c r="AD23" s="126">
        <f>RANK(T23,$T$4:$T$28,1)+COUNTIF($T$4:T23,T23)-1</f>
        <v>7</v>
      </c>
      <c r="AE23" s="68" t="str">
        <f>INDEX(C4:T28,MATCH(20,AD4:AD28,0),1)</f>
        <v>Krosno</v>
      </c>
      <c r="AF23" s="56">
        <f>INDEX(C4:T28,MATCH(20,AD4:AD28,0),18)</f>
        <v>-4</v>
      </c>
      <c r="AG23" s="85"/>
      <c r="AH23" s="129">
        <v>20</v>
      </c>
      <c r="AI23" s="130">
        <f t="shared" si="5"/>
        <v>-3</v>
      </c>
    </row>
    <row r="24" spans="2:35" ht="12" thickBot="1" x14ac:dyDescent="0.25">
      <c r="B24" s="140">
        <v>21</v>
      </c>
      <c r="C24" s="89" t="s">
        <v>56</v>
      </c>
      <c r="D24" s="136">
        <v>589</v>
      </c>
      <c r="E24" s="81">
        <v>511</v>
      </c>
      <c r="F24" s="113">
        <f t="shared" si="0"/>
        <v>-78</v>
      </c>
      <c r="G24" s="77"/>
      <c r="H24" s="60">
        <v>227</v>
      </c>
      <c r="I24" s="58">
        <v>193</v>
      </c>
      <c r="J24" s="73">
        <f t="shared" si="1"/>
        <v>-34</v>
      </c>
      <c r="K24" s="80"/>
      <c r="L24" s="60">
        <v>119</v>
      </c>
      <c r="M24" s="58">
        <v>55</v>
      </c>
      <c r="N24" s="73">
        <f t="shared" si="2"/>
        <v>-64</v>
      </c>
      <c r="O24" s="80"/>
      <c r="P24" s="138">
        <f t="shared" si="6"/>
        <v>-176</v>
      </c>
      <c r="Q24" s="84"/>
      <c r="R24" s="158">
        <v>1284</v>
      </c>
      <c r="S24" s="58">
        <v>1233</v>
      </c>
      <c r="T24" s="59">
        <f t="shared" si="3"/>
        <v>-51</v>
      </c>
      <c r="U24" s="50"/>
      <c r="V24" s="158">
        <v>1251</v>
      </c>
      <c r="W24" s="120">
        <v>1252</v>
      </c>
      <c r="X24" s="72">
        <f t="shared" si="4"/>
        <v>1</v>
      </c>
      <c r="Z24" s="123">
        <f>RANK(P24,$P$4:$P$28,1)+COUNTIF($P$4:P24,P24)-1</f>
        <v>5</v>
      </c>
      <c r="AA24" s="93" t="str">
        <f>INDEX(C4:P28,MATCH(21,Z4:Z28,0),1)</f>
        <v>sanocki</v>
      </c>
      <c r="AB24" s="59">
        <f>INDEX(C4:P28,MATCH(21,Z4:Z28,0),14)</f>
        <v>19</v>
      </c>
      <c r="AC24" s="125"/>
      <c r="AD24" s="127">
        <f>RANK(T24,$T$4:$T$28,1)+COUNTIF($T$4:T24,T24)-1</f>
        <v>17</v>
      </c>
      <c r="AE24" s="93" t="str">
        <f>INDEX(C4:T28,MATCH(21,AD4:AD28,0),1)</f>
        <v>Tarnobrzeg</v>
      </c>
      <c r="AF24" s="59">
        <f>INDEX(C4:T28,MATCH(21,AD4:AD28,0),18)</f>
        <v>10</v>
      </c>
      <c r="AG24" s="85"/>
      <c r="AH24" s="129">
        <v>21</v>
      </c>
      <c r="AI24" s="130">
        <f t="shared" si="5"/>
        <v>-12</v>
      </c>
    </row>
    <row r="25" spans="2:35" x14ac:dyDescent="0.2">
      <c r="B25" s="140">
        <v>22</v>
      </c>
      <c r="C25" s="90" t="s">
        <v>21</v>
      </c>
      <c r="D25" s="135">
        <v>339</v>
      </c>
      <c r="E25" s="63">
        <v>403</v>
      </c>
      <c r="F25" s="114">
        <f t="shared" si="0"/>
        <v>64</v>
      </c>
      <c r="G25" s="78"/>
      <c r="H25" s="57">
        <v>91</v>
      </c>
      <c r="I25" s="56">
        <v>79</v>
      </c>
      <c r="J25" s="71">
        <f t="shared" si="1"/>
        <v>-12</v>
      </c>
      <c r="K25" s="80"/>
      <c r="L25" s="57">
        <v>29</v>
      </c>
      <c r="M25" s="56">
        <v>38</v>
      </c>
      <c r="N25" s="71">
        <f t="shared" si="2"/>
        <v>9</v>
      </c>
      <c r="O25" s="80"/>
      <c r="P25" s="65">
        <f t="shared" si="6"/>
        <v>61</v>
      </c>
      <c r="Q25" s="84"/>
      <c r="R25" s="157">
        <v>720</v>
      </c>
      <c r="S25" s="56">
        <v>716</v>
      </c>
      <c r="T25" s="54">
        <f t="shared" si="3"/>
        <v>-4</v>
      </c>
      <c r="U25" s="50"/>
      <c r="V25" s="157">
        <v>790</v>
      </c>
      <c r="W25" s="117">
        <v>784</v>
      </c>
      <c r="X25" s="116">
        <f t="shared" si="4"/>
        <v>-6</v>
      </c>
      <c r="Z25" s="64">
        <f>RANK(P25,$P$4:$P$28,1)+COUNTIF($P$4:P25,P25)-1</f>
        <v>24</v>
      </c>
      <c r="AA25" s="67" t="str">
        <f>INDEX(C4:P28,MATCH(22,Z4:Z28,0),1)</f>
        <v>Przemyśl</v>
      </c>
      <c r="AB25" s="54">
        <f>INDEX(C4:P28,MATCH(22,Z4:Z28,0),14)</f>
        <v>40</v>
      </c>
      <c r="AC25" s="125"/>
      <c r="AD25" s="64">
        <f>RANK(T25,$T$4:$T$28,1)+COUNTIF($T$4:T25,T25)-1</f>
        <v>20</v>
      </c>
      <c r="AE25" s="67" t="str">
        <f>INDEX(C4:T28,MATCH(22,AD4:AD28,0),1)</f>
        <v>sanocki</v>
      </c>
      <c r="AF25" s="54">
        <f>INDEX(C4:T28,MATCH(22,AD4:AD28,0),18)</f>
        <v>13</v>
      </c>
      <c r="AG25" s="85"/>
      <c r="AH25" s="129">
        <v>22</v>
      </c>
      <c r="AI25" s="130">
        <f t="shared" si="5"/>
        <v>4</v>
      </c>
    </row>
    <row r="26" spans="2:35" x14ac:dyDescent="0.2">
      <c r="B26" s="140">
        <v>23</v>
      </c>
      <c r="C26" s="90" t="s">
        <v>22</v>
      </c>
      <c r="D26" s="135">
        <v>596</v>
      </c>
      <c r="E26" s="63">
        <v>603</v>
      </c>
      <c r="F26" s="114">
        <f t="shared" si="0"/>
        <v>7</v>
      </c>
      <c r="G26" s="78"/>
      <c r="H26" s="57">
        <v>210</v>
      </c>
      <c r="I26" s="56">
        <v>241</v>
      </c>
      <c r="J26" s="71">
        <f t="shared" si="1"/>
        <v>31</v>
      </c>
      <c r="K26" s="80"/>
      <c r="L26" s="57">
        <v>44</v>
      </c>
      <c r="M26" s="56">
        <v>46</v>
      </c>
      <c r="N26" s="71">
        <f t="shared" si="2"/>
        <v>2</v>
      </c>
      <c r="O26" s="80"/>
      <c r="P26" s="65">
        <f t="shared" si="6"/>
        <v>40</v>
      </c>
      <c r="Q26" s="84"/>
      <c r="R26" s="157">
        <v>2487</v>
      </c>
      <c r="S26" s="56">
        <v>2374</v>
      </c>
      <c r="T26" s="56">
        <f t="shared" si="3"/>
        <v>-113</v>
      </c>
      <c r="U26" s="50"/>
      <c r="V26" s="157">
        <v>2346</v>
      </c>
      <c r="W26" s="117">
        <v>2249</v>
      </c>
      <c r="X26" s="71">
        <f t="shared" si="4"/>
        <v>-97</v>
      </c>
      <c r="Z26" s="65">
        <f>RANK(P26,$P$4:$P$28,1)+COUNTIF($P$4:P26,P26)-1</f>
        <v>22</v>
      </c>
      <c r="AA26" s="68" t="str">
        <f>INDEX(C4:P28,MATCH(23,Z4:Z28,0),1)</f>
        <v>krośnieński</v>
      </c>
      <c r="AB26" s="56">
        <f>INDEX(C4:P28,MATCH(23,Z4:Z28,0),14)</f>
        <v>61</v>
      </c>
      <c r="AC26" s="125"/>
      <c r="AD26" s="126">
        <f>RANK(T26,$T$4:$T$28,1)+COUNTIF($T$4:T26,T26)-1</f>
        <v>14</v>
      </c>
      <c r="AE26" s="68" t="str">
        <f>INDEX(C4:T28,MATCH(23,AD4:AD28,0),1)</f>
        <v>stalowowolski</v>
      </c>
      <c r="AF26" s="56">
        <f>INDEX(C4:T28,MATCH(23,AD4:AD28,0),18)</f>
        <v>50</v>
      </c>
      <c r="AG26" s="85"/>
      <c r="AH26" s="129">
        <v>23</v>
      </c>
      <c r="AI26" s="130">
        <f t="shared" si="5"/>
        <v>8</v>
      </c>
    </row>
    <row r="27" spans="2:35" x14ac:dyDescent="0.2">
      <c r="B27" s="140">
        <v>24</v>
      </c>
      <c r="C27" s="90" t="s">
        <v>23</v>
      </c>
      <c r="D27" s="135">
        <v>2007</v>
      </c>
      <c r="E27" s="63">
        <v>1865</v>
      </c>
      <c r="F27" s="114">
        <f t="shared" si="0"/>
        <v>-142</v>
      </c>
      <c r="G27" s="78"/>
      <c r="H27" s="57">
        <v>327</v>
      </c>
      <c r="I27" s="56">
        <v>362</v>
      </c>
      <c r="J27" s="71">
        <f t="shared" si="1"/>
        <v>35</v>
      </c>
      <c r="K27" s="80"/>
      <c r="L27" s="57">
        <v>200</v>
      </c>
      <c r="M27" s="56">
        <v>168</v>
      </c>
      <c r="N27" s="71">
        <f t="shared" si="2"/>
        <v>-32</v>
      </c>
      <c r="O27" s="80"/>
      <c r="P27" s="65">
        <f t="shared" si="6"/>
        <v>-139</v>
      </c>
      <c r="Q27" s="84"/>
      <c r="R27" s="157">
        <v>5452</v>
      </c>
      <c r="S27" s="56">
        <v>5304</v>
      </c>
      <c r="T27" s="56">
        <f t="shared" si="3"/>
        <v>-148</v>
      </c>
      <c r="U27" s="50"/>
      <c r="V27" s="157">
        <v>5033</v>
      </c>
      <c r="W27" s="117">
        <v>5032</v>
      </c>
      <c r="X27" s="71">
        <f t="shared" si="4"/>
        <v>-1</v>
      </c>
      <c r="Z27" s="65">
        <f>RANK(P27,$P$4:$P$28,1)+COUNTIF($P$4:P27,P27)-1</f>
        <v>6</v>
      </c>
      <c r="AA27" s="68" t="str">
        <f>INDEX(C4:P28,MATCH(24,Z4:Z28,0),1)</f>
        <v>Krosno</v>
      </c>
      <c r="AB27" s="56">
        <f>INDEX(C4:P28,MATCH(24,Z4:Z28,0),14)</f>
        <v>61</v>
      </c>
      <c r="AC27" s="125"/>
      <c r="AD27" s="126">
        <f>RANK(T27,$T$4:$T$28,1)+COUNTIF($T$4:T27,T27)-1</f>
        <v>12</v>
      </c>
      <c r="AE27" s="68" t="str">
        <f>INDEX(C4:T28,MATCH(24,AD4:AD28,0),1)</f>
        <v>krośnieński</v>
      </c>
      <c r="AF27" s="56">
        <f>INDEX(C4:T28,MATCH(24,AD4:AD28,0),18)</f>
        <v>77</v>
      </c>
      <c r="AG27" s="85"/>
      <c r="AH27" s="129">
        <v>24</v>
      </c>
      <c r="AI27" s="130">
        <f t="shared" si="5"/>
        <v>-6</v>
      </c>
    </row>
    <row r="28" spans="2:35" ht="12" thickBot="1" x14ac:dyDescent="0.25">
      <c r="B28" s="140">
        <v>25</v>
      </c>
      <c r="C28" s="91" t="s">
        <v>24</v>
      </c>
      <c r="D28" s="136">
        <v>476</v>
      </c>
      <c r="E28" s="82">
        <v>483</v>
      </c>
      <c r="F28" s="115">
        <f t="shared" si="0"/>
        <v>7</v>
      </c>
      <c r="G28" s="78"/>
      <c r="H28" s="60">
        <v>156</v>
      </c>
      <c r="I28" s="58">
        <v>123</v>
      </c>
      <c r="J28" s="73">
        <f t="shared" si="1"/>
        <v>-33</v>
      </c>
      <c r="K28" s="80"/>
      <c r="L28" s="60">
        <v>127</v>
      </c>
      <c r="M28" s="58">
        <v>79</v>
      </c>
      <c r="N28" s="73">
        <f t="shared" si="2"/>
        <v>-48</v>
      </c>
      <c r="O28" s="80"/>
      <c r="P28" s="92">
        <f t="shared" si="6"/>
        <v>-74</v>
      </c>
      <c r="Q28" s="84"/>
      <c r="R28" s="158">
        <v>1065</v>
      </c>
      <c r="S28" s="58">
        <v>1075</v>
      </c>
      <c r="T28" s="58">
        <f t="shared" si="3"/>
        <v>10</v>
      </c>
      <c r="U28" s="50"/>
      <c r="V28" s="158">
        <v>1065</v>
      </c>
      <c r="W28" s="120">
        <v>1058</v>
      </c>
      <c r="X28" s="73">
        <f t="shared" si="4"/>
        <v>-7</v>
      </c>
      <c r="Z28" s="92">
        <f>RANK(P28,$P$4:$P$28,1)+COUNTIF($P$4:P28,P28)-1</f>
        <v>12</v>
      </c>
      <c r="AA28" s="69" t="str">
        <f>INDEX(C4:P28,MATCH(25,Z4:Z28,0),1)</f>
        <v>przemyski</v>
      </c>
      <c r="AB28" s="58">
        <f>INDEX(C4:P28,MATCH(25,Z4:Z28,0),14)</f>
        <v>79</v>
      </c>
      <c r="AC28" s="125"/>
      <c r="AD28" s="128">
        <f>RANK(T28,$T$4:$T$28,1)+COUNTIF($T$4:T28,T28)-1</f>
        <v>21</v>
      </c>
      <c r="AE28" s="69" t="str">
        <f>INDEX(C4:T28,MATCH(25,AD4:AD28,0),1)</f>
        <v>mielecki</v>
      </c>
      <c r="AF28" s="58">
        <f>INDEX(C4:T28,MATCH(25,AD4:AD28,0),18)</f>
        <v>320</v>
      </c>
      <c r="AG28" s="85"/>
      <c r="AH28" s="129">
        <v>25</v>
      </c>
      <c r="AI28" s="130">
        <f t="shared" si="5"/>
        <v>-9</v>
      </c>
    </row>
    <row r="29" spans="2:35" ht="12" thickBot="1" x14ac:dyDescent="0.25">
      <c r="C29" s="94" t="s">
        <v>57</v>
      </c>
      <c r="D29" s="95">
        <f>SUM(D4:D28)</f>
        <v>24988</v>
      </c>
      <c r="E29" s="99">
        <f>SUM(E4:E28)</f>
        <v>24351</v>
      </c>
      <c r="F29" s="100">
        <f t="shared" ref="F29:S29" si="7">SUM(F4:F28)</f>
        <v>-637</v>
      </c>
      <c r="G29" s="80"/>
      <c r="H29" s="97">
        <f t="shared" si="7"/>
        <v>7037</v>
      </c>
      <c r="I29" s="96">
        <f t="shared" si="7"/>
        <v>6539</v>
      </c>
      <c r="J29" s="100">
        <f t="shared" si="7"/>
        <v>-498</v>
      </c>
      <c r="K29" s="80"/>
      <c r="L29" s="97">
        <f t="shared" si="7"/>
        <v>4423</v>
      </c>
      <c r="M29" s="96">
        <f t="shared" si="7"/>
        <v>3590</v>
      </c>
      <c r="N29" s="100">
        <f t="shared" si="7"/>
        <v>-833</v>
      </c>
      <c r="O29" s="80"/>
      <c r="P29" s="98">
        <f t="shared" si="7"/>
        <v>-1968</v>
      </c>
      <c r="Q29" s="85"/>
      <c r="R29" s="159">
        <f t="shared" si="7"/>
        <v>69046</v>
      </c>
      <c r="S29" s="96">
        <f t="shared" si="7"/>
        <v>65444</v>
      </c>
      <c r="T29" s="99">
        <f>SUM(T4:T28)</f>
        <v>-3602</v>
      </c>
      <c r="U29" s="50"/>
      <c r="V29" s="159">
        <f>SUM(V4:V28)</f>
        <v>67653</v>
      </c>
      <c r="W29" s="121">
        <f>SUM(W4:W28)</f>
        <v>64586</v>
      </c>
      <c r="X29" s="121">
        <f>SUM(W29-V29)</f>
        <v>-3067</v>
      </c>
      <c r="Z29" s="122"/>
      <c r="AA29" s="122"/>
      <c r="AB29" s="122"/>
      <c r="AC29" s="85"/>
      <c r="AD29" s="122"/>
      <c r="AE29" s="122"/>
      <c r="AF29" s="122"/>
      <c r="AG29" s="85"/>
      <c r="AH29" s="85"/>
      <c r="AI29" s="74"/>
    </row>
    <row r="30" spans="2:35" x14ac:dyDescent="0.2">
      <c r="Q30" s="86"/>
    </row>
  </sheetData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7109375" style="3" customWidth="1"/>
    <col min="26" max="26" width="22.42578125" style="3" customWidth="1"/>
    <col min="27" max="27" width="6.5703125" style="3" customWidth="1"/>
    <col min="28" max="28" width="15.140625" style="3" customWidth="1"/>
    <col min="29" max="29" width="13.140625" style="3" customWidth="1"/>
    <col min="30" max="30" width="4" style="3" customWidth="1"/>
    <col min="31" max="31" width="7.5703125" style="3" customWidth="1"/>
    <col min="32" max="32" width="13.42578125" style="3" customWidth="1"/>
    <col min="33" max="33" width="12.7109375" style="3" customWidth="1"/>
    <col min="34" max="16384" width="9.140625" style="3"/>
  </cols>
  <sheetData>
    <row r="1" spans="2:33" x14ac:dyDescent="0.2">
      <c r="B1" s="2" t="s">
        <v>32</v>
      </c>
      <c r="V1" s="2" t="s">
        <v>66</v>
      </c>
      <c r="AA1" s="2" t="s">
        <v>67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31-07-'24 r.</v>
      </c>
      <c r="E3" s="38" t="str">
        <f>T('1bezr.'!D2)</f>
        <v>liczba bezrobotnych ogółem stan na 30-06-'24 r.</v>
      </c>
      <c r="F3" s="37" t="str">
        <f>T('1bezr.'!E2)</f>
        <v>wzrost/spadek do miesiąca poprzedniego</v>
      </c>
      <c r="G3" s="38" t="str">
        <f>T('1bezr.'!F2)</f>
        <v>liczba bezrobotnych ogółem stan na 31-07-'23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44"/>
      <c r="AA3" s="43" t="s">
        <v>42</v>
      </c>
      <c r="AB3" s="36" t="str">
        <f>T('1bezr.'!B2)</f>
        <v>powiaty</v>
      </c>
      <c r="AC3" s="36" t="str">
        <f>T('1bezr.'!C2)</f>
        <v>liczba bezrobotnych ogółem stan na 31-07-'24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31-07-'24 r.</v>
      </c>
    </row>
    <row r="4" spans="2:33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4">
        <f>INDEX('1bezr.'!B3:G28,MATCH(1,B4:B29,0),2)</f>
        <v>784</v>
      </c>
      <c r="E4" s="42">
        <f>INDEX('1bezr.'!B3:G28,MATCH(1,B4:B29,0),3)</f>
        <v>767</v>
      </c>
      <c r="F4" s="6">
        <f>INDEX('1bezr.'!B3:G28,MATCH(1,B4:B29,0),4)</f>
        <v>17</v>
      </c>
      <c r="G4" s="42">
        <f>INDEX('1bezr.'!B3:G28,MATCH(1,B4:B29,0),5)</f>
        <v>716</v>
      </c>
      <c r="H4" s="6">
        <f>INDEX('1bezr.'!B3:G28,MATCH(1,B4:B29,0),6)</f>
        <v>68</v>
      </c>
      <c r="V4" s="6">
        <f>RANK('1bezr.'!E3,'1bezr.'!$E$3:'1bezr.'!$E$28,1)+COUNTIF('1bezr.'!$E$3:'1bezr.'!E3,'1bezr.'!E3)-1</f>
        <v>3</v>
      </c>
      <c r="W4" s="149" t="str">
        <f>INDEX('1bezr.'!B3:G28,MATCH(1,V4:V29,0),1)</f>
        <v>dębicki</v>
      </c>
      <c r="X4" s="150">
        <f>INDEX('1bezr.'!E3:G28,MATCH(1,V4:V29,0),1)</f>
        <v>-39</v>
      </c>
      <c r="Y4" s="151">
        <v>1</v>
      </c>
      <c r="Z4" s="2"/>
      <c r="AA4" s="6">
        <f>RANK('1bezr.'!C3,'1bezr.'!$C$3:'1bezr.'!$C$28,1)+COUNTIF('1bezr.'!$C$3:'1bezr.'!C3,'1bezr.'!C3)-1</f>
        <v>2</v>
      </c>
      <c r="AB4" s="146" t="str">
        <f>INDEX('1bezr.'!B3:G28,MATCH(25,AA4:AA29,0),1)</f>
        <v>Rzeszów</v>
      </c>
      <c r="AC4" s="147">
        <f>INDEX('1bezr.'!B3:G28,MATCH(25,AA4:AA29,0),2)</f>
        <v>5032</v>
      </c>
      <c r="AE4" s="6">
        <f>RANK('1bezr.'!C3,'1bezr.'!$C$3:'1bezr.'!$C$28,1)+COUNTIF('1bezr.'!$C$3:'1bezr.'!C3,'1bezr.'!C3)-1</f>
        <v>2</v>
      </c>
      <c r="AF4" s="146" t="str">
        <f>INDEX('1bezr.'!B3:G28,MATCH(1,AE4:AE29,0),1)</f>
        <v>Krosno</v>
      </c>
      <c r="AG4" s="147">
        <f>INDEX('1bezr.'!B3:K28,MATCH(1,AE4:AE29,0),2)</f>
        <v>784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1000</v>
      </c>
      <c r="E5" s="42">
        <f>INDEX('1bezr.'!B3:G28,MATCH(2,B4:B29,0),3)</f>
        <v>1031</v>
      </c>
      <c r="F5" s="6">
        <f>INDEX('1bezr.'!B3:G28,MATCH(2,B4:B29,0),4)</f>
        <v>-31</v>
      </c>
      <c r="G5" s="42">
        <f>INDEX('1bezr.'!B3:G28,MATCH(2,B4:B29,0),5)</f>
        <v>997</v>
      </c>
      <c r="H5" s="6">
        <f>INDEX('1bezr.'!B3:G28,MATCH(2,B4:B29,0),6)</f>
        <v>3</v>
      </c>
      <c r="V5" s="6">
        <f>RANK('1bezr.'!E4,'1bezr.'!$E$3:'1bezr.'!$E$28,1)+COUNTIF('1bezr.'!$E$3:'1bezr.'!E4,'1bezr.'!E4)-1</f>
        <v>21</v>
      </c>
      <c r="W5" s="149" t="str">
        <f>INDEX('1bezr.'!B3:G28,MATCH(2,V4:V29,0),1)</f>
        <v>leski</v>
      </c>
      <c r="X5" s="6">
        <f>INDEX('1bezr.'!E3:G28,MATCH(2,V4:V29,0),1)</f>
        <v>-39</v>
      </c>
      <c r="Y5" s="168">
        <v>2</v>
      </c>
      <c r="Z5" s="2"/>
      <c r="AA5" s="6">
        <f>RANK('1bezr.'!C4,'1bezr.'!$C$3:'1bezr.'!$C$28,1)+COUNTIF('1bezr.'!$C$3:'1bezr.'!C4,'1bezr.'!C4)-1</f>
        <v>21</v>
      </c>
      <c r="AB5" s="146" t="str">
        <f>INDEX('1bezr.'!B3:G28,MATCH(24,AA4:AA29,0),1)</f>
        <v>jasielski</v>
      </c>
      <c r="AC5" s="147">
        <f>INDEX('1bezr.'!B3:K28,MATCH(24,AA4:AA29,0),2)</f>
        <v>4706</v>
      </c>
      <c r="AE5" s="6">
        <f>RANK('1bezr.'!C4,'1bezr.'!$C$3:'1bezr.'!$C$28,1)+COUNTIF('1bezr.'!$C$3:'1bezr.'!C4,'1bezr.'!C4)-1</f>
        <v>21</v>
      </c>
      <c r="AF5" s="146" t="str">
        <f>INDEX('1bezr.'!B3:G28,MATCH(2,AE4:AE29,0),1)</f>
        <v>bieszczadzki</v>
      </c>
      <c r="AG5" s="147">
        <f>INDEX('1bezr.'!B3:K28,MATCH(2,AE4:AE29,0),2)</f>
        <v>1000</v>
      </c>
    </row>
    <row r="6" spans="2:33" x14ac:dyDescent="0.2">
      <c r="B6" s="6">
        <f>RANK('1bezr.'!C5,'1bezr.'!$C$3:'1bezr.'!$C$28,1)+COUNTIF('1bezr.'!$C$3:'1bezr.'!C5,'1bezr.'!C5)-1</f>
        <v>10</v>
      </c>
      <c r="C6" s="5" t="str">
        <f>INDEX('1bezr.'!B3:G28,MATCH(3,B4:B29,0),1)</f>
        <v>Tarnobrzeg</v>
      </c>
      <c r="D6" s="6">
        <f>INDEX('1bezr.'!B3:G28,MATCH(3,B4:B29,0),2)</f>
        <v>1058</v>
      </c>
      <c r="E6" s="42">
        <f>INDEX('1bezr.'!B3:G28,MATCH(3,B4:B29,0),3)</f>
        <v>1034</v>
      </c>
      <c r="F6" s="6">
        <f>INDEX('1bezr.'!B3:G28,MATCH(3,B4:B29,0),4)</f>
        <v>24</v>
      </c>
      <c r="G6" s="42">
        <f>INDEX('1bezr.'!B3:G28,MATCH(3,B4:B29,0),5)</f>
        <v>1075</v>
      </c>
      <c r="H6" s="6">
        <f>INDEX('1bezr.'!B3:G28,MATCH(3,B4:B29,0),6)</f>
        <v>-17</v>
      </c>
      <c r="V6" s="6">
        <f>RANK('1bezr.'!E5,'1bezr.'!$E$3:'1bezr.'!$E$28,1)+COUNTIF('1bezr.'!$E$3:'1bezr.'!E5,'1bezr.'!E5)-1</f>
        <v>1</v>
      </c>
      <c r="W6" s="169" t="str">
        <f>INDEX('1bezr.'!B3:G28,MATCH(3,V4:V29,0),1)</f>
        <v>bieszczadzki</v>
      </c>
      <c r="X6" s="6">
        <f>INDEX('1bezr.'!E3:G28,MATCH(3,V4:V29,0),1)</f>
        <v>-31</v>
      </c>
      <c r="Y6" s="168">
        <v>3</v>
      </c>
      <c r="Z6" s="2"/>
      <c r="AA6" s="6">
        <f>RANK('1bezr.'!C5,'1bezr.'!$C$3:'1bezr.'!$C$28,1)+COUNTIF('1bezr.'!$C$3:'1bezr.'!C5,'1bezr.'!C5)-1</f>
        <v>10</v>
      </c>
      <c r="AB6" s="146" t="str">
        <f>INDEX('1bezr.'!B3:G28,MATCH(23,AA4:AA29,0),1)</f>
        <v>rzeszowski</v>
      </c>
      <c r="AC6" s="147">
        <f>INDEX('1bezr.'!B3:K28,MATCH(23,AA4:AA29,0),2)</f>
        <v>4458</v>
      </c>
      <c r="AE6" s="6">
        <f>RANK('1bezr.'!C5,'1bezr.'!$C$3:'1bezr.'!$C$28,1)+COUNTIF('1bezr.'!$C$3:'1bezr.'!C5,'1bezr.'!C5)-1</f>
        <v>10</v>
      </c>
      <c r="AF6" s="146" t="str">
        <f>INDEX('1bezr.'!B3:G28,MATCH(3,AE4:AE29,0),1)</f>
        <v>Tarnobrzeg</v>
      </c>
      <c r="AG6" s="147">
        <f>INDEX('1bezr.'!B3:K28,MATCH(3,AE4:AE29,0),2)</f>
        <v>1058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1252</v>
      </c>
      <c r="E7" s="42">
        <f>INDEX('1bezr.'!B3:G28,MATCH(4,B4:B29,0),3)</f>
        <v>1196</v>
      </c>
      <c r="F7" s="6">
        <f>INDEX('1bezr.'!B3:G28,MATCH(4,B4:B29,0),4)</f>
        <v>56</v>
      </c>
      <c r="G7" s="42">
        <f>INDEX('1bezr.'!B3:G28,MATCH(4,B4:B29,0),5)</f>
        <v>1233</v>
      </c>
      <c r="H7" s="6">
        <f>INDEX('1bezr.'!B3:G28,MATCH(4,B4:B29,0),6)</f>
        <v>19</v>
      </c>
      <c r="V7" s="6">
        <f>RANK('1bezr.'!E6,'1bezr.'!$E$3:'1bezr.'!$E$28,1)+COUNTIF('1bezr.'!$E$3:'1bezr.'!E6,'1bezr.'!E6)-1</f>
        <v>17</v>
      </c>
      <c r="W7" s="169" t="str">
        <f>INDEX('1bezr.'!B3:G28,MATCH(4,V4:V29,0),1)</f>
        <v>łańcucki</v>
      </c>
      <c r="X7" s="6">
        <f>INDEX('1bezr.'!E3:G28,MATCH(4,V4:V29,0),1)</f>
        <v>-14</v>
      </c>
      <c r="Y7" s="168">
        <v>4</v>
      </c>
      <c r="Z7" s="2"/>
      <c r="AA7" s="6">
        <f>RANK('1bezr.'!C6,'1bezr.'!$C$3:'1bezr.'!$C$28,1)+COUNTIF('1bezr.'!$C$3:'1bezr.'!C6,'1bezr.'!C6)-1</f>
        <v>22</v>
      </c>
      <c r="AB7" s="146" t="str">
        <f>INDEX('1bezr.'!B3:G28,MATCH(22,AA4:AA29,0),1)</f>
        <v>jarosławski</v>
      </c>
      <c r="AC7" s="147">
        <f>INDEX('1bezr.'!B3:K28,MATCH(22,AA4:AA29,0),2)</f>
        <v>4290</v>
      </c>
      <c r="AE7" s="6">
        <f>RANK('1bezr.'!C6,'1bezr.'!$C$3:'1bezr.'!$C$28,1)+COUNTIF('1bezr.'!$C$3:'1bezr.'!C6,'1bezr.'!C6)-1</f>
        <v>22</v>
      </c>
      <c r="AF7" s="146" t="str">
        <f>INDEX('1bezr.'!B3:G28,MATCH(4,AE4:AE29,0),1)</f>
        <v xml:space="preserve">tarnobrzeski </v>
      </c>
      <c r="AG7" s="147">
        <f>INDEX('1bezr.'!B3:K28,MATCH(4,AE4:AE29,0),2)</f>
        <v>1252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leski</v>
      </c>
      <c r="D8" s="6">
        <f>INDEX('1bezr.'!B3:G28,MATCH(5,B4:B29,0),2)</f>
        <v>1492</v>
      </c>
      <c r="E8" s="42">
        <f>INDEX('1bezr.'!B3:G28,MATCH(5,B4:B29,0),3)</f>
        <v>1531</v>
      </c>
      <c r="F8" s="6">
        <f>INDEX('1bezr.'!B3:G28,MATCH(5,B4:B29,0),4)</f>
        <v>-39</v>
      </c>
      <c r="G8" s="42">
        <f>INDEX('1bezr.'!B3:G28,MATCH(5,B4:B29,0),5)</f>
        <v>1510</v>
      </c>
      <c r="H8" s="6">
        <f>INDEX('1bezr.'!B3:G28,MATCH(5,B4:B29,0),6)</f>
        <v>-18</v>
      </c>
      <c r="V8" s="6">
        <f>RANK('1bezr.'!E7,'1bezr.'!$E$3:'1bezr.'!$E$28,1)+COUNTIF('1bezr.'!$E$3:'1bezr.'!E7,'1bezr.'!E7)-1</f>
        <v>10</v>
      </c>
      <c r="W8" s="169" t="str">
        <f>INDEX('1bezr.'!B3:G28,MATCH(5,V4:V29,0),1)</f>
        <v>kolbuszowski</v>
      </c>
      <c r="X8" s="6">
        <f>INDEX('1bezr.'!E3:G28,MATCH(5,V4:V29,0),1)</f>
        <v>-4</v>
      </c>
      <c r="Y8" s="168">
        <v>5</v>
      </c>
      <c r="Z8" s="2"/>
      <c r="AA8" s="6">
        <f>RANK('1bezr.'!C7,'1bezr.'!$C$3:'1bezr.'!$C$28,1)+COUNTIF('1bezr.'!$C$3:'1bezr.'!C7,'1bezr.'!C7)-1</f>
        <v>24</v>
      </c>
      <c r="AB8" s="146" t="str">
        <f>INDEX('1bezr.'!B3:G28,MATCH(21,AA4:AA29,0),1)</f>
        <v>brzozowski</v>
      </c>
      <c r="AC8" s="147">
        <f>INDEX('1bezr.'!B3:K28,MATCH(21,AA4:AA29,0),2)</f>
        <v>3484</v>
      </c>
      <c r="AE8" s="6">
        <f>RANK('1bezr.'!C7,'1bezr.'!$C$3:'1bezr.'!$C$28,1)+COUNTIF('1bezr.'!$C$3:'1bezr.'!C7,'1bezr.'!C7)-1</f>
        <v>24</v>
      </c>
      <c r="AF8" s="146" t="str">
        <f>INDEX('1bezr.'!B3:G28,MATCH(5,AE4:AE29,0),1)</f>
        <v>leski</v>
      </c>
      <c r="AG8" s="147">
        <f>INDEX('1bezr.'!B3:K28,MATCH(5,AE4:AE29,0),2)</f>
        <v>1492</v>
      </c>
    </row>
    <row r="9" spans="2:33" x14ac:dyDescent="0.2">
      <c r="B9" s="6">
        <f>RANK('1bezr.'!C8,'1bezr.'!$C$3:'1bezr.'!$C$28,1)+COUNTIF('1bezr.'!$C$3:'1bezr.'!C8,'1bezr.'!C8)-1</f>
        <v>6</v>
      </c>
      <c r="C9" s="5" t="str">
        <f>INDEX('1bezr.'!B3:G28,MATCH(6,B4:B29,0),1)</f>
        <v>kolbuszowski</v>
      </c>
      <c r="D9" s="6">
        <f>INDEX('1bezr.'!B3:G28,MATCH(6,B4:B29,0),2)</f>
        <v>1505</v>
      </c>
      <c r="E9" s="42">
        <f>INDEX('1bezr.'!B3:G28,MATCH(6,B4:B29,0),3)</f>
        <v>1509</v>
      </c>
      <c r="F9" s="6">
        <f>INDEX('1bezr.'!B3:G28,MATCH(6,B4:B29,0),4)</f>
        <v>-4</v>
      </c>
      <c r="G9" s="42">
        <f>INDEX('1bezr.'!B3:G28,MATCH(6,B4:B29,0),5)</f>
        <v>1528</v>
      </c>
      <c r="H9" s="6">
        <f>INDEX('1bezr.'!B3:G28,MATCH(6,B4:B29,0),6)</f>
        <v>-23</v>
      </c>
      <c r="V9" s="6">
        <f>RANK('1bezr.'!E8,'1bezr.'!$E$3:'1bezr.'!$E$28,1)+COUNTIF('1bezr.'!$E$3:'1bezr.'!E8,'1bezr.'!E8)-1</f>
        <v>5</v>
      </c>
      <c r="W9" s="153" t="str">
        <f>INDEX('1bezr.'!B3:G28,MATCH(6,V4:V29,0),1)</f>
        <v>leżajski</v>
      </c>
      <c r="X9" s="147">
        <f>INDEX('1bezr.'!E3:G28,MATCH(6,V4:V29,0),1)</f>
        <v>3</v>
      </c>
      <c r="Y9" s="152">
        <v>1</v>
      </c>
      <c r="Z9" s="2"/>
      <c r="AA9" s="6">
        <f>RANK('1bezr.'!C8,'1bezr.'!$C$3:'1bezr.'!$C$28,1)+COUNTIF('1bezr.'!$C$3:'1bezr.'!C8,'1bezr.'!C8)-1</f>
        <v>6</v>
      </c>
      <c r="AB9" s="146" t="str">
        <f>INDEX('1bezr.'!B3:G28,MATCH(20,AA4:AA29,0),1)</f>
        <v>przeworski</v>
      </c>
      <c r="AC9" s="147">
        <f>INDEX('1bezr.'!B3:K28,MATCH(20,AA4:AA29,0),2)</f>
        <v>3169</v>
      </c>
      <c r="AE9" s="6">
        <f>RANK('1bezr.'!C8,'1bezr.'!$C$3:'1bezr.'!$C$28,1)+COUNTIF('1bezr.'!$C$3:'1bezr.'!C8,'1bezr.'!C8)-1</f>
        <v>6</v>
      </c>
      <c r="AF9" s="146" t="str">
        <f>INDEX('1bezr.'!B3:G28,MATCH(6,AE4:AE29,0),1)</f>
        <v>kolbuszowski</v>
      </c>
      <c r="AG9" s="147">
        <f>INDEX('1bezr.'!B3:K28,MATCH(6,AE4:AE29,0),2)</f>
        <v>1505</v>
      </c>
    </row>
    <row r="10" spans="2:33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1594</v>
      </c>
      <c r="E10" s="42">
        <f>INDEX('1bezr.'!B3:G28,MATCH(7,B4:B29,0),3)</f>
        <v>1586</v>
      </c>
      <c r="F10" s="6">
        <f>INDEX('1bezr.'!B3:G28,MATCH(7,B4:B29,0),4)</f>
        <v>8</v>
      </c>
      <c r="G10" s="42">
        <f>INDEX('1bezr.'!B3:G28,MATCH(7,B4:B29,0),5)</f>
        <v>1616</v>
      </c>
      <c r="H10" s="6">
        <f>INDEX('1bezr.'!B3:G28,MATCH(7,B4:B29,0),6)</f>
        <v>-22</v>
      </c>
      <c r="V10" s="6">
        <f>RANK('1bezr.'!E9,'1bezr.'!$E$3:'1bezr.'!$E$28,1)+COUNTIF('1bezr.'!$E$3:'1bezr.'!E9,'1bezr.'!E9)-1</f>
        <v>13</v>
      </c>
      <c r="W10" s="154" t="str">
        <f>INDEX('1bezr.'!B3:G28,MATCH(7,V4:V29,0),1)</f>
        <v>lubaczowski</v>
      </c>
      <c r="X10" s="147">
        <f>INDEX('1bezr.'!E3:G28,MATCH(7,V4:V29,0),1)</f>
        <v>8</v>
      </c>
      <c r="Y10" s="152">
        <v>2</v>
      </c>
      <c r="Z10" s="2"/>
      <c r="AA10" s="6">
        <f>RANK('1bezr.'!C9,'1bezr.'!$C$3:'1bezr.'!$C$28,1)+COUNTIF('1bezr.'!$C$3:'1bezr.'!C9,'1bezr.'!C9)-1</f>
        <v>9</v>
      </c>
      <c r="AB10" s="148" t="str">
        <f>INDEX('1bezr.'!B3:G28,MATCH(19,AA4:AA29,0),1)</f>
        <v>strzyżowski</v>
      </c>
      <c r="AC10" s="147">
        <f>INDEX('1bezr.'!B3:K28,MATCH(19,AA4:AA29,0),2)</f>
        <v>3042</v>
      </c>
      <c r="AE10" s="6">
        <f>RANK('1bezr.'!C9,'1bezr.'!$C$3:'1bezr.'!$C$28,1)+COUNTIF('1bezr.'!$C$3:'1bezr.'!C9,'1bezr.'!C9)-1</f>
        <v>9</v>
      </c>
      <c r="AF10" s="148" t="str">
        <f>INDEX('1bezr.'!B3:G28,MATCH(7,AE4:AE29,0),1)</f>
        <v>lubaczowski</v>
      </c>
      <c r="AG10" s="147">
        <f>INDEX('1bezr.'!B3:K28,MATCH(7,AE4:AE29,0),2)</f>
        <v>1594</v>
      </c>
    </row>
    <row r="11" spans="2:33" x14ac:dyDescent="0.2">
      <c r="B11" s="6">
        <f>RANK('1bezr.'!C10,'1bezr.'!$C$3:'1bezr.'!$C$28,1)+COUNTIF('1bezr.'!$C$3:'1bezr.'!C10,'1bezr.'!C10)-1</f>
        <v>5</v>
      </c>
      <c r="C11" s="5" t="str">
        <f>INDEX('1bezr.'!B3:G28,MATCH(8,B4:B29,0),1)</f>
        <v>stalowowolski</v>
      </c>
      <c r="D11" s="6">
        <f>INDEX('1bezr.'!B3:G28,MATCH(8,B4:B29,0),2)</f>
        <v>1960</v>
      </c>
      <c r="E11" s="42">
        <f>INDEX('1bezr.'!B3:G28,MATCH(8,B4:B29,0),3)</f>
        <v>1860</v>
      </c>
      <c r="F11" s="6">
        <f>INDEX('1bezr.'!B3:G28,MATCH(8,B4:B29,0),4)</f>
        <v>100</v>
      </c>
      <c r="G11" s="42">
        <f>INDEX('1bezr.'!B3:G28,MATCH(8,B4:B29,0),5)</f>
        <v>1891</v>
      </c>
      <c r="H11" s="6">
        <f>INDEX('1bezr.'!B3:G28,MATCH(8,B4:B29,0),6)</f>
        <v>69</v>
      </c>
      <c r="V11" s="6">
        <f>RANK('1bezr.'!E10,'1bezr.'!$E$3:'1bezr.'!$E$28,1)+COUNTIF('1bezr.'!$E$3:'1bezr.'!E10,'1bezr.'!E10)-1</f>
        <v>2</v>
      </c>
      <c r="W11" s="153" t="str">
        <f>INDEX('1bezr.'!B3:G28,MATCH(8,V4:V29,0),1)</f>
        <v>przeworski</v>
      </c>
      <c r="X11" s="147">
        <f>INDEX('1bezr.'!E3:G28,MATCH(8,V4:V29,0),1)</f>
        <v>8</v>
      </c>
      <c r="Y11" s="152">
        <v>3</v>
      </c>
      <c r="Z11" s="2"/>
      <c r="AA11" s="6">
        <f>RANK('1bezr.'!C10,'1bezr.'!$C$3:'1bezr.'!$C$28,1)+COUNTIF('1bezr.'!$C$3:'1bezr.'!C10,'1bezr.'!C10)-1</f>
        <v>5</v>
      </c>
      <c r="AB11" s="146" t="str">
        <f>INDEX('1bezr.'!B3:G28,MATCH(18,AA4:AA29,0),1)</f>
        <v>mielecki</v>
      </c>
      <c r="AC11" s="147">
        <f>INDEX('1bezr.'!B3:K28,MATCH(18,AA4:AA29,0),2)</f>
        <v>2993</v>
      </c>
      <c r="AE11" s="6">
        <f>RANK('1bezr.'!C10,'1bezr.'!$C$3:'1bezr.'!$C$28,1)+COUNTIF('1bezr.'!$C$3:'1bezr.'!C10,'1bezr.'!C10)-1</f>
        <v>5</v>
      </c>
      <c r="AF11" s="146" t="str">
        <f>INDEX('1bezr.'!B3:G28,MATCH(8,AE4:AE29,0),1)</f>
        <v>stalowowolski</v>
      </c>
      <c r="AG11" s="147">
        <f>INDEX('1bezr.'!B3:K28,MATCH(8,AE4:AE29,0),2)</f>
        <v>1960</v>
      </c>
    </row>
    <row r="12" spans="2:33" x14ac:dyDescent="0.2">
      <c r="B12" s="6">
        <f>RANK('1bezr.'!C11,'1bezr.'!$C$3:'1bezr.'!$C$28,1)+COUNTIF('1bezr.'!$C$3:'1bezr.'!C11,'1bezr.'!C11)-1</f>
        <v>16</v>
      </c>
      <c r="C12" s="5" t="str">
        <f>INDEX('1bezr.'!B3:G28,MATCH(9,B4:B29,0),1)</f>
        <v>krośnieński</v>
      </c>
      <c r="D12" s="6">
        <f>INDEX('1bezr.'!B3:G28,MATCH(9,B4:B29,0),2)</f>
        <v>2158</v>
      </c>
      <c r="E12" s="42">
        <f>INDEX('1bezr.'!B3:G28,MATCH(9,B4:B29,0),3)</f>
        <v>2136</v>
      </c>
      <c r="F12" s="6">
        <f>INDEX('1bezr.'!B3:G28,MATCH(9,B4:B29,0),4)</f>
        <v>22</v>
      </c>
      <c r="G12" s="42">
        <f>INDEX('1bezr.'!B3:G28,MATCH(9,B4:B29,0),5)</f>
        <v>2095</v>
      </c>
      <c r="H12" s="6">
        <f>INDEX('1bezr.'!B3:G28,MATCH(9,B4:B29,0),6)</f>
        <v>63</v>
      </c>
      <c r="V12" s="6">
        <f>RANK('1bezr.'!E11,'1bezr.'!$E$3:'1bezr.'!$E$28,1)+COUNTIF('1bezr.'!$E$3:'1bezr.'!E11,'1bezr.'!E11)-1</f>
        <v>6</v>
      </c>
      <c r="W12" s="153" t="str">
        <f>INDEX('1bezr.'!B3:G28,MATCH(9,V4:V29,0),1)</f>
        <v>Przemyśl</v>
      </c>
      <c r="X12" s="147">
        <f>INDEX('1bezr.'!E3:G28,MATCH(9,V4:V29,0),1)</f>
        <v>9</v>
      </c>
      <c r="Y12" s="152">
        <v>4</v>
      </c>
      <c r="Z12" s="2"/>
      <c r="AA12" s="6">
        <f>RANK('1bezr.'!C11,'1bezr.'!$C$3:'1bezr.'!$C$28,1)+COUNTIF('1bezr.'!$C$3:'1bezr.'!C11,'1bezr.'!C11)-1</f>
        <v>16</v>
      </c>
      <c r="AB12" s="146" t="str">
        <f>INDEX('1bezr.'!B3:G28,MATCH(17,AA4:AA29,0),1)</f>
        <v>niżański</v>
      </c>
      <c r="AC12" s="147">
        <f>INDEX('1bezr.'!B3:K28,MATCH(17,AA4:AA29,0),2)</f>
        <v>2878</v>
      </c>
      <c r="AE12" s="6">
        <f>RANK('1bezr.'!C11,'1bezr.'!$C$3:'1bezr.'!$C$28,1)+COUNTIF('1bezr.'!$C$3:'1bezr.'!C11,'1bezr.'!C11)-1</f>
        <v>16</v>
      </c>
      <c r="AF12" s="142" t="str">
        <f>INDEX('1bezr.'!B3:G28,MATCH(9,AE4:AE29,0),1)</f>
        <v>krośnieński</v>
      </c>
      <c r="AG12" s="6">
        <f>INDEX('1bezr.'!B3:K28,MATCH(9,AE4:AE29,0),2)</f>
        <v>2158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dębicki</v>
      </c>
      <c r="D13" s="6">
        <f>INDEX('1bezr.'!B3:G28,MATCH(10,B4:B29,0),2)</f>
        <v>2221</v>
      </c>
      <c r="E13" s="42">
        <f>INDEX('1bezr.'!B3:G28,MATCH(10,B4:B29,0),3)</f>
        <v>2260</v>
      </c>
      <c r="F13" s="6">
        <f>INDEX('1bezr.'!B3:G28,MATCH(10,B4:B29,0),4)</f>
        <v>-39</v>
      </c>
      <c r="G13" s="42">
        <f>INDEX('1bezr.'!B3:G28,MATCH(10,B4:B29,0),5)</f>
        <v>2386</v>
      </c>
      <c r="H13" s="6">
        <f>INDEX('1bezr.'!B3:G28,MATCH(10,B4:B29,0),6)</f>
        <v>-165</v>
      </c>
      <c r="V13" s="6">
        <f>RANK('1bezr.'!E12,'1bezr.'!$E$3:'1bezr.'!$E$28,1)+COUNTIF('1bezr.'!$E$3:'1bezr.'!E12,'1bezr.'!E12)-1</f>
        <v>7</v>
      </c>
      <c r="W13" s="153" t="str">
        <f>INDEX('1bezr.'!B3:G28,MATCH(10,V4:V29,0),1)</f>
        <v>jasielski</v>
      </c>
      <c r="X13" s="147">
        <f>INDEX('1bezr.'!E3:G28,MATCH(10,V4:V29,0),1)</f>
        <v>13</v>
      </c>
      <c r="Y13" s="152">
        <v>5</v>
      </c>
      <c r="Z13" s="132"/>
      <c r="AA13" s="6">
        <f>RANK('1bezr.'!C12,'1bezr.'!$C$3:'1bezr.'!$C$28,1)+COUNTIF('1bezr.'!$C$3:'1bezr.'!C12,'1bezr.'!C12)-1</f>
        <v>7</v>
      </c>
      <c r="AB13" s="146" t="str">
        <f>INDEX('1bezr.'!B3:G28,MATCH(16,AA4:AA29,0),1)</f>
        <v>leżajski</v>
      </c>
      <c r="AC13" s="147">
        <f>INDEX('1bezr.'!B3:K28,MATCH(16,AA4:AA29,0),2)</f>
        <v>2812</v>
      </c>
      <c r="AE13" s="6">
        <f>RANK('1bezr.'!C12,'1bezr.'!$C$3:'1bezr.'!$C$28,1)+COUNTIF('1bezr.'!$C$3:'1bezr.'!C12,'1bezr.'!C12)-1</f>
        <v>7</v>
      </c>
      <c r="AF13" s="142" t="str">
        <f>INDEX('1bezr.'!B3:G28,MATCH(10,AE4:AE29,0),1)</f>
        <v>dębicki</v>
      </c>
      <c r="AG13" s="6">
        <f>INDEX('1bezr.'!B3:K28,MATCH(10,AE4:AE29,0),2)</f>
        <v>2221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Przemyśl</v>
      </c>
      <c r="D14" s="6">
        <f>INDEX('1bezr.'!B3:G28,MATCH(11,B4:B29,0),2)</f>
        <v>2249</v>
      </c>
      <c r="E14" s="42">
        <f>INDEX('1bezr.'!B3:G28,MATCH(11,B4:B29,0),3)</f>
        <v>2240</v>
      </c>
      <c r="F14" s="6">
        <f>INDEX('1bezr.'!B3:G28,MATCH(11,B4:B29,0),4)</f>
        <v>9</v>
      </c>
      <c r="G14" s="42">
        <f>INDEX('1bezr.'!B3:G28,MATCH(11,B4:B29,0),5)</f>
        <v>2374</v>
      </c>
      <c r="H14" s="6">
        <f>INDEX('1bezr.'!B3:G28,MATCH(11,B4:B29,0),6)</f>
        <v>-125</v>
      </c>
      <c r="V14" s="6">
        <f>RANK('1bezr.'!E13,'1bezr.'!$E$3:'1bezr.'!$E$28,1)+COUNTIF('1bezr.'!$E$3:'1bezr.'!E13,'1bezr.'!E13)-1</f>
        <v>4</v>
      </c>
      <c r="W14" s="153" t="str">
        <f>INDEX('1bezr.'!B3:G28,MATCH(11,V4:V29,0),1)</f>
        <v>ropczycko-sędziszowski</v>
      </c>
      <c r="X14" s="147">
        <f>INDEX('1bezr.'!E3:G28,MATCH(11,V4:V29,0),1)</f>
        <v>14</v>
      </c>
      <c r="Y14" s="152">
        <v>6</v>
      </c>
      <c r="Z14" s="2"/>
      <c r="AA14" s="6">
        <f>RANK('1bezr.'!C13,'1bezr.'!$C$3:'1bezr.'!$C$28,1)+COUNTIF('1bezr.'!$C$3:'1bezr.'!C13,'1bezr.'!C13)-1</f>
        <v>12</v>
      </c>
      <c r="AB14" s="146" t="str">
        <f>INDEX('1bezr.'!B3:G28,MATCH(15,AA4:AA29,0),1)</f>
        <v>przemyski</v>
      </c>
      <c r="AC14" s="147">
        <f>INDEX('1bezr.'!B3:K28,MATCH(15,AA4:AA29,0),2)</f>
        <v>2771</v>
      </c>
      <c r="AE14" s="6">
        <f>RANK('1bezr.'!C13,'1bezr.'!$C$3:'1bezr.'!$C$28,1)+COUNTIF('1bezr.'!$C$3:'1bezr.'!C13,'1bezr.'!C13)-1</f>
        <v>12</v>
      </c>
      <c r="AF14" s="142" t="str">
        <f>INDEX('1bezr.'!B3:G28,MATCH(11,AE4:AE29,0),1)</f>
        <v>Przemyśl</v>
      </c>
      <c r="AG14" s="6">
        <f>INDEX('1bezr.'!B3:K28,MATCH(11,AE4:AE29,0),2)</f>
        <v>2249</v>
      </c>
    </row>
    <row r="15" spans="2:33" x14ac:dyDescent="0.2">
      <c r="B15" s="6">
        <f>RANK('1bezr.'!C14,'1bezr.'!$C$3:'1bezr.'!$C$28,1)+COUNTIF('1bezr.'!$C$3:'1bezr.'!C14,'1bezr.'!C14)-1</f>
        <v>18</v>
      </c>
      <c r="C15" s="5" t="str">
        <f>INDEX('1bezr.'!B3:G28,MATCH(12,B4:B29,0),1)</f>
        <v>łańcucki</v>
      </c>
      <c r="D15" s="6">
        <f>INDEX('1bezr.'!B3:G28,MATCH(12,B4:B29,0),2)</f>
        <v>2387</v>
      </c>
      <c r="E15" s="42">
        <f>INDEX('1bezr.'!B3:G28,MATCH(12,B4:B29,0),3)</f>
        <v>2401</v>
      </c>
      <c r="F15" s="6">
        <f>INDEX('1bezr.'!B3:G28,MATCH(12,B4:B29,0),4)</f>
        <v>-14</v>
      </c>
      <c r="G15" s="42">
        <f>INDEX('1bezr.'!B3:G28,MATCH(12,B4:B29,0),5)</f>
        <v>2519</v>
      </c>
      <c r="H15" s="6">
        <f>INDEX('1bezr.'!B3:G28,MATCH(12,B4:B29,0),6)</f>
        <v>-132</v>
      </c>
      <c r="V15" s="6">
        <f>RANK('1bezr.'!E14,'1bezr.'!$E$3:'1bezr.'!$E$28,1)+COUNTIF('1bezr.'!$E$3:'1bezr.'!E14,'1bezr.'!E14)-1</f>
        <v>25</v>
      </c>
      <c r="W15" s="153" t="str">
        <f>INDEX('1bezr.'!B3:G28,MATCH(12,V4:V29,0),1)</f>
        <v>Krosno</v>
      </c>
      <c r="X15" s="147">
        <f>INDEX('1bezr.'!E3:G28,MATCH(12,V4:V29,0),1)</f>
        <v>17</v>
      </c>
      <c r="Y15" s="152">
        <v>7</v>
      </c>
      <c r="Z15" s="2"/>
      <c r="AA15" s="6">
        <f>RANK('1bezr.'!C14,'1bezr.'!$C$3:'1bezr.'!$C$28,1)+COUNTIF('1bezr.'!$C$3:'1bezr.'!C14,'1bezr.'!C14)-1</f>
        <v>18</v>
      </c>
      <c r="AB15" s="146" t="str">
        <f>INDEX('1bezr.'!B3:G28,MATCH(14,AA4:AA29,0),1)</f>
        <v>sanocki</v>
      </c>
      <c r="AC15" s="147">
        <f>INDEX('1bezr.'!B3:K28,MATCH(14,AA4:AA29,0),2)</f>
        <v>2721</v>
      </c>
      <c r="AE15" s="6">
        <f>RANK('1bezr.'!C14,'1bezr.'!$C$3:'1bezr.'!$C$28,1)+COUNTIF('1bezr.'!$C$3:'1bezr.'!C14,'1bezr.'!C14)-1</f>
        <v>18</v>
      </c>
      <c r="AF15" s="142" t="str">
        <f>INDEX('1bezr.'!B3:G28,MATCH(12,AE4:AE29,0),1)</f>
        <v>łańcucki</v>
      </c>
      <c r="AG15" s="6">
        <f>INDEX('1bezr.'!B3:K28,MATCH(12,AE4:AE29,0),2)</f>
        <v>2387</v>
      </c>
    </row>
    <row r="16" spans="2:33" x14ac:dyDescent="0.2">
      <c r="B16" s="6">
        <f>RANK('1bezr.'!C15,'1bezr.'!$C$3:'1bezr.'!$C$28,1)+COUNTIF('1bezr.'!$C$3:'1bezr.'!C15,'1bezr.'!C15)-1</f>
        <v>17</v>
      </c>
      <c r="C16" s="5" t="str">
        <f>INDEX('1bezr.'!B3:G28,MATCH(13,B4:B29,0),1)</f>
        <v>ropczycko-sędziszowski</v>
      </c>
      <c r="D16" s="6">
        <f>INDEX('1bezr.'!B3:G28,MATCH(13,B4:B29,0),2)</f>
        <v>2570</v>
      </c>
      <c r="E16" s="42">
        <f>INDEX('1bezr.'!B3:G28,MATCH(13,B4:B29,0),3)</f>
        <v>2556</v>
      </c>
      <c r="F16" s="6">
        <f>INDEX('1bezr.'!B3:G28,MATCH(13,B4:B29,0),4)</f>
        <v>14</v>
      </c>
      <c r="G16" s="42">
        <f>INDEX('1bezr.'!B3:G28,MATCH(13,B4:B29,0),5)</f>
        <v>2569</v>
      </c>
      <c r="H16" s="6">
        <f>INDEX('1bezr.'!B3:G28,MATCH(13,B4:B29,0),6)</f>
        <v>1</v>
      </c>
      <c r="V16" s="6">
        <f>RANK('1bezr.'!E15,'1bezr.'!$E$3:'1bezr.'!$E$28,1)+COUNTIF('1bezr.'!$E$3:'1bezr.'!E15,'1bezr.'!E15)-1</f>
        <v>22</v>
      </c>
      <c r="W16" s="153" t="str">
        <f>INDEX('1bezr.'!B3:G28,MATCH(13,V4:V29,0),1)</f>
        <v>krośnieński</v>
      </c>
      <c r="X16" s="147">
        <f>INDEX('1bezr.'!E3:G28,MATCH(13,V4:V29,0),1)</f>
        <v>22</v>
      </c>
      <c r="Y16" s="152">
        <v>8</v>
      </c>
      <c r="Z16" s="2"/>
      <c r="AA16" s="6">
        <f>RANK('1bezr.'!C15,'1bezr.'!$C$3:'1bezr.'!$C$28,1)+COUNTIF('1bezr.'!$C$3:'1bezr.'!C15,'1bezr.'!C15)-1</f>
        <v>17</v>
      </c>
      <c r="AB16" s="146" t="str">
        <f>INDEX('1bezr.'!B3:G28,MATCH(13,AA4:AA29,0),1)</f>
        <v>ropczycko-sędziszowski</v>
      </c>
      <c r="AC16" s="147">
        <f>INDEX('1bezr.'!B3:K28,MATCH(13,AA4:AA29,0),2)</f>
        <v>2570</v>
      </c>
      <c r="AE16" s="6">
        <f>RANK('1bezr.'!C15,'1bezr.'!$C$3:'1bezr.'!$C$28,1)+COUNTIF('1bezr.'!$C$3:'1bezr.'!C15,'1bezr.'!C15)-1</f>
        <v>17</v>
      </c>
      <c r="AF16" s="142" t="str">
        <f>INDEX('1bezr.'!B3:G28,MATCH(13,AE4:AE29,0),1)</f>
        <v>ropczycko-sędziszowski</v>
      </c>
      <c r="AG16" s="6">
        <f>INDEX('1bezr.'!B3:K28,MATCH(13,AE4:AE29,0),2)</f>
        <v>2570</v>
      </c>
    </row>
    <row r="17" spans="2:33" x14ac:dyDescent="0.2">
      <c r="B17" s="6">
        <f>RANK('1bezr.'!C16,'1bezr.'!$C$3:'1bezr.'!$C$28,1)+COUNTIF('1bezr.'!$C$3:'1bezr.'!C16,'1bezr.'!C16)-1</f>
        <v>15</v>
      </c>
      <c r="C17" s="5" t="str">
        <f>INDEX('1bezr.'!B3:G28,MATCH(14,B4:B29,0),1)</f>
        <v>sanocki</v>
      </c>
      <c r="D17" s="6">
        <f>INDEX('1bezr.'!B3:G28,MATCH(14,B4:B29,0),2)</f>
        <v>2721</v>
      </c>
      <c r="E17" s="42">
        <f>INDEX('1bezr.'!B3:G28,MATCH(14,B4:B29,0),3)</f>
        <v>2659</v>
      </c>
      <c r="F17" s="6">
        <f>INDEX('1bezr.'!B3:G28,MATCH(14,B4:B29,0),4)</f>
        <v>62</v>
      </c>
      <c r="G17" s="42">
        <f>INDEX('1bezr.'!B3:G28,MATCH(14,B4:B29,0),5)</f>
        <v>2657</v>
      </c>
      <c r="H17" s="6">
        <f>INDEX('1bezr.'!B3:G28,MATCH(14,B4:B29,0),6)</f>
        <v>64</v>
      </c>
      <c r="V17" s="6">
        <f>RANK('1bezr.'!E16,'1bezr.'!$E$3:'1bezr.'!$E$28,1)+COUNTIF('1bezr.'!$E$3:'1bezr.'!E16,'1bezr.'!E16)-1</f>
        <v>19</v>
      </c>
      <c r="W17" s="153" t="str">
        <f>INDEX('1bezr.'!B3:G28,MATCH(14,V4:V29,0),1)</f>
        <v>Tarnobrzeg</v>
      </c>
      <c r="X17" s="147">
        <f>INDEX('1bezr.'!E3:G28,MATCH(14,V4:V29,0),1)</f>
        <v>24</v>
      </c>
      <c r="Y17" s="152">
        <v>9</v>
      </c>
      <c r="Z17" s="2"/>
      <c r="AA17" s="6">
        <f>RANK('1bezr.'!C16,'1bezr.'!$C$3:'1bezr.'!$C$28,1)+COUNTIF('1bezr.'!$C$3:'1bezr.'!C16,'1bezr.'!C16)-1</f>
        <v>15</v>
      </c>
      <c r="AB17" s="146" t="str">
        <f>INDEX('1bezr.'!B3:G28,MATCH(12,AA4:AA29,0),1)</f>
        <v>łańcucki</v>
      </c>
      <c r="AC17" s="147">
        <f>INDEX('1bezr.'!B3:K28,MATCH(12,AA4:AA29,0),2)</f>
        <v>2387</v>
      </c>
      <c r="AE17" s="6">
        <f>RANK('1bezr.'!C16,'1bezr.'!$C$3:'1bezr.'!$C$28,1)+COUNTIF('1bezr.'!$C$3:'1bezr.'!C16,'1bezr.'!C16)-1</f>
        <v>15</v>
      </c>
      <c r="AF17" s="142" t="str">
        <f>INDEX('1bezr.'!B3:G28,MATCH(14,AE4:AE29,0),1)</f>
        <v>sanocki</v>
      </c>
      <c r="AG17" s="6">
        <f>INDEX('1bezr.'!B3:K28,MATCH(14,AE4:AE29,0),2)</f>
        <v>2721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przemyski</v>
      </c>
      <c r="D18" s="6">
        <f>INDEX('1bezr.'!B3:G28,MATCH(15,B4:B29,0),2)</f>
        <v>2771</v>
      </c>
      <c r="E18" s="42">
        <f>INDEX('1bezr.'!B3:G28,MATCH(15,B4:B29,0),3)</f>
        <v>2711</v>
      </c>
      <c r="F18" s="6">
        <f>INDEX('1bezr.'!B3:G28,MATCH(15,B4:B29,0),4)</f>
        <v>60</v>
      </c>
      <c r="G18" s="42">
        <f>INDEX('1bezr.'!B3:G28,MATCH(15,B4:B29,0),5)</f>
        <v>2740</v>
      </c>
      <c r="H18" s="6">
        <f>INDEX('1bezr.'!B3:G28,MATCH(15,B4:B29,0),6)</f>
        <v>31</v>
      </c>
      <c r="V18" s="6">
        <f>RANK('1bezr.'!E17,'1bezr.'!$E$3:'1bezr.'!$E$28,1)+COUNTIF('1bezr.'!$E$3:'1bezr.'!E17,'1bezr.'!E17)-1</f>
        <v>8</v>
      </c>
      <c r="W18" s="153" t="str">
        <f>INDEX('1bezr.'!B3:G28,MATCH(15,V4:V29,0),1)</f>
        <v>strzyżowski</v>
      </c>
      <c r="X18" s="147">
        <f>INDEX('1bezr.'!E3:G28,MATCH(15,V4:V29,0),1)</f>
        <v>34</v>
      </c>
      <c r="Y18" s="152">
        <v>10</v>
      </c>
      <c r="Z18" s="2"/>
      <c r="AA18" s="6">
        <f>RANK('1bezr.'!C17,'1bezr.'!$C$3:'1bezr.'!$C$28,1)+COUNTIF('1bezr.'!$C$3:'1bezr.'!C17,'1bezr.'!C17)-1</f>
        <v>20</v>
      </c>
      <c r="AB18" s="146" t="str">
        <f>INDEX('1bezr.'!B3:G28,MATCH(11,AA4:AA29,0),1)</f>
        <v>Przemyśl</v>
      </c>
      <c r="AC18" s="147">
        <f>INDEX('1bezr.'!B3:K28,MATCH(11,AA4:AA29,0),2)</f>
        <v>2249</v>
      </c>
      <c r="AE18" s="6">
        <f>RANK('1bezr.'!C17,'1bezr.'!$C$3:'1bezr.'!$C$28,1)+COUNTIF('1bezr.'!$C$3:'1bezr.'!C17,'1bezr.'!C17)-1</f>
        <v>20</v>
      </c>
      <c r="AF18" s="142" t="str">
        <f>INDEX('1bezr.'!B3:G28,MATCH(15,AE4:AE29,0),1)</f>
        <v>przemyski</v>
      </c>
      <c r="AG18" s="6">
        <f>INDEX('1bezr.'!B3:K28,MATCH(15,AE4:AE29,0),2)</f>
        <v>2771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leżajski</v>
      </c>
      <c r="D19" s="6">
        <f>INDEX('1bezr.'!B3:G28,MATCH(16,B4:B29,0),2)</f>
        <v>2812</v>
      </c>
      <c r="E19" s="42">
        <f>INDEX('1bezr.'!B3:G28,MATCH(16,B4:B29,0),3)</f>
        <v>2809</v>
      </c>
      <c r="F19" s="6">
        <f>INDEX('1bezr.'!B3:G28,MATCH(16,B4:B29,0),4)</f>
        <v>3</v>
      </c>
      <c r="G19" s="42">
        <f>INDEX('1bezr.'!B3:G28,MATCH(16,B4:B29,0),5)</f>
        <v>2933</v>
      </c>
      <c r="H19" s="6">
        <f>INDEX('1bezr.'!B3:G28,MATCH(16,B4:B29,0),6)</f>
        <v>-121</v>
      </c>
      <c r="V19" s="6">
        <f>RANK('1bezr.'!E18,'1bezr.'!$E$3:'1bezr.'!$E$28,1)+COUNTIF('1bezr.'!$E$3:'1bezr.'!E18,'1bezr.'!E18)-1</f>
        <v>11</v>
      </c>
      <c r="W19" s="153" t="str">
        <f>INDEX('1bezr.'!B3:G28,MATCH(16,V4:V29,0),1)</f>
        <v>rzeszowski</v>
      </c>
      <c r="X19" s="147">
        <f>INDEX('1bezr.'!E3:G28,MATCH(16,V4:V29,0),1)</f>
        <v>35</v>
      </c>
      <c r="Y19" s="152">
        <v>11</v>
      </c>
      <c r="Z19" s="2"/>
      <c r="AA19" s="6">
        <f>RANK('1bezr.'!C18,'1bezr.'!$C$3:'1bezr.'!$C$28,1)+COUNTIF('1bezr.'!$C$3:'1bezr.'!C18,'1bezr.'!C18)-1</f>
        <v>13</v>
      </c>
      <c r="AB19" s="146" t="str">
        <f>INDEX('1bezr.'!B3:G28,MATCH(10,AA4:AA29,0),1)</f>
        <v>dębicki</v>
      </c>
      <c r="AC19" s="147">
        <f>INDEX('1bezr.'!B3:K28,MATCH(10,AA4:AA29,0),2)</f>
        <v>2221</v>
      </c>
      <c r="AE19" s="6">
        <f>RANK('1bezr.'!C18,'1bezr.'!$C$3:'1bezr.'!$C$28,1)+COUNTIF('1bezr.'!$C$3:'1bezr.'!C18,'1bezr.'!C18)-1</f>
        <v>13</v>
      </c>
      <c r="AF19" s="142" t="str">
        <f>INDEX('1bezr.'!B3:G28,MATCH(16,AE4:AE29,0),1)</f>
        <v>leżajski</v>
      </c>
      <c r="AG19" s="6">
        <f>INDEX('1bezr.'!B3:K28,MATCH(16,AE4:AE29,0),2)</f>
        <v>2812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niżański</v>
      </c>
      <c r="D20" s="6">
        <f>INDEX('1bezr.'!B3:G28,MATCH(17,B4:B29,0),2)</f>
        <v>2878</v>
      </c>
      <c r="E20" s="42">
        <f>INDEX('1bezr.'!B3:G28,MATCH(17,B4:B29,0),3)</f>
        <v>2794</v>
      </c>
      <c r="F20" s="6">
        <f>INDEX('1bezr.'!B3:G28,MATCH(17,B4:B29,0),4)</f>
        <v>84</v>
      </c>
      <c r="G20" s="42">
        <f>INDEX('1bezr.'!B3:G28,MATCH(17,B4:B29,0),5)</f>
        <v>3032</v>
      </c>
      <c r="H20" s="6">
        <f>INDEX('1bezr.'!B3:G28,MATCH(17,B4:B29,0),6)</f>
        <v>-154</v>
      </c>
      <c r="V20" s="6">
        <f>RANK('1bezr.'!E19,'1bezr.'!$E$3:'1bezr.'!$E$28,1)+COUNTIF('1bezr.'!$E$3:'1bezr.'!E19,'1bezr.'!E19)-1</f>
        <v>16</v>
      </c>
      <c r="W20" s="153" t="str">
        <f>INDEX('1bezr.'!B3:G28,MATCH(17,V4:V29,0),1)</f>
        <v>jarosławski</v>
      </c>
      <c r="X20" s="147">
        <f>INDEX('1bezr.'!E3:G28,MATCH(17,V4:V29,0),1)</f>
        <v>51</v>
      </c>
      <c r="Y20" s="152">
        <v>12</v>
      </c>
      <c r="Z20" s="2"/>
      <c r="AA20" s="6">
        <f>RANK('1bezr.'!C19,'1bezr.'!$C$3:'1bezr.'!$C$28,1)+COUNTIF('1bezr.'!$C$3:'1bezr.'!C19,'1bezr.'!C19)-1</f>
        <v>23</v>
      </c>
      <c r="AB20" s="146" t="str">
        <f>INDEX('1bezr.'!B3:G28,MATCH(9,AA4:AA29,0),1)</f>
        <v>krośnieński</v>
      </c>
      <c r="AC20" s="147">
        <f>INDEX('1bezr.'!B3:K28,MATCH(9,AA4:AA29,0),2)</f>
        <v>2158</v>
      </c>
      <c r="AE20" s="6">
        <f>RANK('1bezr.'!C19,'1bezr.'!$C$3:'1bezr.'!$C$28,1)+COUNTIF('1bezr.'!$C$3:'1bezr.'!C19,'1bezr.'!C19)-1</f>
        <v>23</v>
      </c>
      <c r="AF20" s="142" t="str">
        <f>INDEX('1bezr.'!B3:G28,MATCH(17,AE4:AE29,0),1)</f>
        <v>niżański</v>
      </c>
      <c r="AG20" s="6">
        <f>INDEX('1bezr.'!B3:K28,MATCH(17,AE4:AE29,0),2)</f>
        <v>2878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mielecki</v>
      </c>
      <c r="D21" s="6">
        <f>INDEX('1bezr.'!B3:G28,MATCH(18,B4:B29,0),2)</f>
        <v>2993</v>
      </c>
      <c r="E21" s="42">
        <f>INDEX('1bezr.'!B3:G28,MATCH(18,B4:B29,0),3)</f>
        <v>2872</v>
      </c>
      <c r="F21" s="6">
        <f>INDEX('1bezr.'!B3:G28,MATCH(18,B4:B29,0),4)</f>
        <v>121</v>
      </c>
      <c r="G21" s="42">
        <f>INDEX('1bezr.'!B3:G28,MATCH(18,B4:B29,0),5)</f>
        <v>2837</v>
      </c>
      <c r="H21" s="6">
        <f>INDEX('1bezr.'!B3:G28,MATCH(18,B4:B29,0),6)</f>
        <v>156</v>
      </c>
      <c r="V21" s="6">
        <f>RANK('1bezr.'!E20,'1bezr.'!$E$3:'1bezr.'!$E$28,1)+COUNTIF('1bezr.'!$E$3:'1bezr.'!E20,'1bezr.'!E20)-1</f>
        <v>20</v>
      </c>
      <c r="W21" s="153" t="str">
        <f>INDEX('1bezr.'!B3:G28,MATCH(18,V4:V29,0),1)</f>
        <v xml:space="preserve">tarnobrzeski </v>
      </c>
      <c r="X21" s="147">
        <f>INDEX('1bezr.'!E3:G28,MATCH(18,V4:V29,0),1)</f>
        <v>56</v>
      </c>
      <c r="Y21" s="152">
        <v>13</v>
      </c>
      <c r="Z21" s="2"/>
      <c r="AA21" s="6">
        <f>RANK('1bezr.'!C20,'1bezr.'!$C$3:'1bezr.'!$C$28,1)+COUNTIF('1bezr.'!$C$3:'1bezr.'!C20,'1bezr.'!C20)-1</f>
        <v>14</v>
      </c>
      <c r="AB21" s="142" t="str">
        <f>INDEX('1bezr.'!B3:G28,MATCH(8,AA4:AA29,0),1)</f>
        <v>stalowowolski</v>
      </c>
      <c r="AC21" s="6">
        <f>INDEX('1bezr.'!B3:K28,MATCH(8,AA4:AA29,0),2)</f>
        <v>1960</v>
      </c>
      <c r="AE21" s="6">
        <f>RANK('1bezr.'!C20,'1bezr.'!$C$3:'1bezr.'!$C$28,1)+COUNTIF('1bezr.'!$C$3:'1bezr.'!C20,'1bezr.'!C20)-1</f>
        <v>14</v>
      </c>
      <c r="AF21" s="142" t="str">
        <f>INDEX('1bezr.'!B3:G28,MATCH(18,AE4:AE29,0),1)</f>
        <v>mielecki</v>
      </c>
      <c r="AG21" s="6">
        <f>INDEX('1bezr.'!B3:K28,MATCH(18,AE4:AE29,0),2)</f>
        <v>2993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3042</v>
      </c>
      <c r="E22" s="42">
        <f>INDEX('1bezr.'!B3:G28,MATCH(19,B4:B29,0),3)</f>
        <v>3008</v>
      </c>
      <c r="F22" s="6">
        <f>INDEX('1bezr.'!B3:G28,MATCH(19,B4:B29,0),4)</f>
        <v>34</v>
      </c>
      <c r="G22" s="42">
        <f>INDEX('1bezr.'!B3:G28,MATCH(19,B4:B29,0),5)</f>
        <v>3007</v>
      </c>
      <c r="H22" s="6">
        <f>INDEX('1bezr.'!B3:G28,MATCH(19,B4:B29,0),6)</f>
        <v>35</v>
      </c>
      <c r="V22" s="6">
        <f>RANK('1bezr.'!E21,'1bezr.'!$E$3:'1bezr.'!$E$28,1)+COUNTIF('1bezr.'!$E$3:'1bezr.'!E21,'1bezr.'!E21)-1</f>
        <v>24</v>
      </c>
      <c r="W22" s="153" t="str">
        <f>INDEX('1bezr.'!B3:G28,MATCH(19,V4:V29,0),1)</f>
        <v>przemyski</v>
      </c>
      <c r="X22" s="147">
        <f>INDEX('1bezr.'!E3:G28,MATCH(19,V4:V29,0),1)</f>
        <v>60</v>
      </c>
      <c r="Y22" s="152">
        <v>14</v>
      </c>
      <c r="Z22" s="2"/>
      <c r="AA22" s="6">
        <f>RANK('1bezr.'!C21,'1bezr.'!$C$3:'1bezr.'!$C$28,1)+COUNTIF('1bezr.'!$C$3:'1bezr.'!C21,'1bezr.'!C21)-1</f>
        <v>8</v>
      </c>
      <c r="AB22" s="142" t="str">
        <f>INDEX('1bezr.'!B3:G28,MATCH(7,AA4:AA29,0),1)</f>
        <v>lubaczowski</v>
      </c>
      <c r="AC22" s="6">
        <f>INDEX('1bezr.'!B3:K28,MATCH(7,AA4:AA29,0),2)</f>
        <v>1594</v>
      </c>
      <c r="AE22" s="6">
        <f>RANK('1bezr.'!C21,'1bezr.'!$C$3:'1bezr.'!$C$28,1)+COUNTIF('1bezr.'!$C$3:'1bezr.'!C21,'1bezr.'!C21)-1</f>
        <v>8</v>
      </c>
      <c r="AF22" s="142" t="str">
        <f>INDEX('1bezr.'!B3:G28,MATCH(19,AE4:AE29,0),1)</f>
        <v>strzyżowski</v>
      </c>
      <c r="AG22" s="6">
        <f>INDEX('1bezr.'!B3:K28,MATCH(19,AE4:AE29,0),2)</f>
        <v>3042</v>
      </c>
    </row>
    <row r="23" spans="2:33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3169</v>
      </c>
      <c r="E23" s="42">
        <f>INDEX('1bezr.'!B3:G28,MATCH(20,B4:B29,0),3)</f>
        <v>3161</v>
      </c>
      <c r="F23" s="6">
        <f>INDEX('1bezr.'!B3:G28,MATCH(20,B4:B29,0),4)</f>
        <v>8</v>
      </c>
      <c r="G23" s="42">
        <f>INDEX('1bezr.'!B3:G28,MATCH(20,B4:B29,0),5)</f>
        <v>3268</v>
      </c>
      <c r="H23" s="6">
        <f>INDEX('1bezr.'!B3:G28,MATCH(20,B4:B29,0),6)</f>
        <v>-99</v>
      </c>
      <c r="V23" s="6">
        <f>RANK('1bezr.'!E22,'1bezr.'!$E$3:'1bezr.'!$E$28,1)+COUNTIF('1bezr.'!$E$3:'1bezr.'!E22,'1bezr.'!E22)-1</f>
        <v>15</v>
      </c>
      <c r="W23" s="153" t="str">
        <f>INDEX('1bezr.'!B3:G28,MATCH(20,V4:V29,0),1)</f>
        <v>sanocki</v>
      </c>
      <c r="X23" s="147">
        <f>INDEX('1bezr.'!E3:G28,MATCH(20,V4:V29,0),1)</f>
        <v>62</v>
      </c>
      <c r="Y23" s="152">
        <v>15</v>
      </c>
      <c r="Z23" s="2"/>
      <c r="AA23" s="6">
        <f>RANK('1bezr.'!C22,'1bezr.'!$C$3:'1bezr.'!$C$28,1)+COUNTIF('1bezr.'!$C$3:'1bezr.'!C22,'1bezr.'!C22)-1</f>
        <v>19</v>
      </c>
      <c r="AB23" s="142" t="str">
        <f>INDEX('1bezr.'!B3:G28,MATCH(6,AA4:AA29,0),1)</f>
        <v>kolbuszowski</v>
      </c>
      <c r="AC23" s="6">
        <f>INDEX('1bezr.'!B3:K28,MATCH(6,AA4:AA29,0),2)</f>
        <v>1505</v>
      </c>
      <c r="AE23" s="6">
        <f>RANK('1bezr.'!C22,'1bezr.'!$C$3:'1bezr.'!$C$28,1)+COUNTIF('1bezr.'!$C$3:'1bezr.'!C22,'1bezr.'!C22)-1</f>
        <v>19</v>
      </c>
      <c r="AF23" s="142" t="str">
        <f>INDEX('1bezr.'!B3:G28,MATCH(20,AE4:AE29,0),1)</f>
        <v>przeworski</v>
      </c>
      <c r="AG23" s="6">
        <f>INDEX('1bezr.'!B3:K28,MATCH(20,AE4:AE29,0),2)</f>
        <v>3169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3484</v>
      </c>
      <c r="E24" s="42">
        <f>INDEX('1bezr.'!B3:G28,MATCH(21,B4:B29,0),3)</f>
        <v>3405</v>
      </c>
      <c r="F24" s="6">
        <f>INDEX('1bezr.'!B3:G28,MATCH(21,B4:B29,0),4)</f>
        <v>79</v>
      </c>
      <c r="G24" s="42">
        <f>INDEX('1bezr.'!B3:G28,MATCH(21,B4:B29,0),5)</f>
        <v>3608</v>
      </c>
      <c r="H24" s="6">
        <f>INDEX('1bezr.'!B3:G28,MATCH(21,B4:B29,0),6)</f>
        <v>-124</v>
      </c>
      <c r="V24" s="6">
        <f>RANK('1bezr.'!E23,'1bezr.'!$E$3:'1bezr.'!$E$28,1)+COUNTIF('1bezr.'!$E$3:'1bezr.'!E23,'1bezr.'!E23)-1</f>
        <v>18</v>
      </c>
      <c r="W24" s="165" t="str">
        <f>INDEX('1bezr.'!B3:G28,MATCH(21,V4:V29,0),1)</f>
        <v>brzozowski</v>
      </c>
      <c r="X24" s="166">
        <f>INDEX('1bezr.'!E3:G28,MATCH(21,V4:V29,0),1)</f>
        <v>79</v>
      </c>
      <c r="Y24" s="167">
        <v>16</v>
      </c>
      <c r="Z24" s="2"/>
      <c r="AA24" s="6">
        <f>RANK('1bezr.'!C23,'1bezr.'!$C$3:'1bezr.'!$C$28,1)+COUNTIF('1bezr.'!$C$3:'1bezr.'!C23,'1bezr.'!C23)-1</f>
        <v>4</v>
      </c>
      <c r="AB24" s="142" t="str">
        <f>INDEX('1bezr.'!B3:G28,MATCH(5,AA4:AA29,0),1)</f>
        <v>leski</v>
      </c>
      <c r="AC24" s="6">
        <f>INDEX('1bezr.'!B3:K28,MATCH(5,AA4:AA29,0),2)</f>
        <v>1492</v>
      </c>
      <c r="AE24" s="6">
        <f>RANK('1bezr.'!C23,'1bezr.'!$C$3:'1bezr.'!$C$28,1)+COUNTIF('1bezr.'!$C$3:'1bezr.'!C23,'1bezr.'!C23)-1</f>
        <v>4</v>
      </c>
      <c r="AF24" s="142" t="str">
        <f>INDEX('1bezr.'!B3:G28,MATCH(21,AE4:AE29,0),1)</f>
        <v>brzozowski</v>
      </c>
      <c r="AG24" s="6">
        <f>INDEX('1bezr.'!B3:K28,MATCH(21,AE4:AE29,0),2)</f>
        <v>3484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4290</v>
      </c>
      <c r="E25" s="42">
        <f>INDEX('1bezr.'!B3:G28,MATCH(22,B4:B29,0),3)</f>
        <v>4239</v>
      </c>
      <c r="F25" s="6">
        <f>INDEX('1bezr.'!B3:G28,MATCH(22,B4:B29,0),4)</f>
        <v>51</v>
      </c>
      <c r="G25" s="42">
        <f>INDEX('1bezr.'!B3:G28,MATCH(22,B4:B29,0),5)</f>
        <v>4222</v>
      </c>
      <c r="H25" s="6">
        <f>INDEX('1bezr.'!B3:G28,MATCH(22,B4:B29,0),6)</f>
        <v>68</v>
      </c>
      <c r="V25" s="6">
        <f>RANK('1bezr.'!E24,'1bezr.'!$E$3:'1bezr.'!$E$28,1)+COUNTIF('1bezr.'!$E$3:'1bezr.'!E24,'1bezr.'!E24)-1</f>
        <v>12</v>
      </c>
      <c r="W25" s="165" t="str">
        <f>INDEX('1bezr.'!B3:G28,MATCH(22,V4:V29,0),1)</f>
        <v>niżański</v>
      </c>
      <c r="X25" s="166">
        <f>INDEX('1bezr.'!E3:G28,MATCH(22,V4:V29,0),1)</f>
        <v>84</v>
      </c>
      <c r="Y25" s="167">
        <v>17</v>
      </c>
      <c r="Z25" s="2"/>
      <c r="AA25" s="6">
        <f>RANK('1bezr.'!C24,'1bezr.'!$C$3:'1bezr.'!$C$28,1)+COUNTIF('1bezr.'!$C$3:'1bezr.'!C24,'1bezr.'!C24)-1</f>
        <v>1</v>
      </c>
      <c r="AB25" s="142" t="str">
        <f>INDEX('1bezr.'!B3:G28,MATCH(4,AA4:AA29,0),1)</f>
        <v xml:space="preserve">tarnobrzeski </v>
      </c>
      <c r="AC25" s="6">
        <f>INDEX('1bezr.'!B3:K28,MATCH(4,AA4:AA29,0),2)</f>
        <v>1252</v>
      </c>
      <c r="AE25" s="6">
        <f>RANK('1bezr.'!C24,'1bezr.'!$C$3:'1bezr.'!$C$28,1)+COUNTIF('1bezr.'!$C$3:'1bezr.'!C24,'1bezr.'!C24)-1</f>
        <v>1</v>
      </c>
      <c r="AF25" s="142" t="str">
        <f>INDEX('1bezr.'!B3:G28,MATCH(22,AE4:AE29,0),1)</f>
        <v>jarosławski</v>
      </c>
      <c r="AG25" s="6">
        <f>INDEX('1bezr.'!B3:K28,MATCH(22,AE4:AE29,0),2)</f>
        <v>4290</v>
      </c>
    </row>
    <row r="26" spans="2:33" x14ac:dyDescent="0.2">
      <c r="B26" s="6">
        <f>RANK('1bezr.'!C25,'1bezr.'!$C$3:'1bezr.'!$C$28,1)+COUNTIF('1bezr.'!$C$3:'1bezr.'!C25,'1bezr.'!C25)-1</f>
        <v>11</v>
      </c>
      <c r="C26" s="5" t="str">
        <f>INDEX('1bezr.'!B3:G28,MATCH(23,B4:B29,0),1)</f>
        <v>rzeszowski</v>
      </c>
      <c r="D26" s="6">
        <f>INDEX('1bezr.'!B3:G28,MATCH(23,B4:B29,0),2)</f>
        <v>4458</v>
      </c>
      <c r="E26" s="42">
        <f>INDEX('1bezr.'!B3:G28,MATCH(23,B4:B29,0),3)</f>
        <v>4423</v>
      </c>
      <c r="F26" s="6">
        <f>INDEX('1bezr.'!B3:G28,MATCH(23,B4:B29,0),4)</f>
        <v>35</v>
      </c>
      <c r="G26" s="42">
        <f>INDEX('1bezr.'!B3:G28,MATCH(23,B4:B29,0),5)</f>
        <v>4618</v>
      </c>
      <c r="H26" s="6">
        <f>INDEX('1bezr.'!B3:G28,MATCH(23,B4:B29,0),6)</f>
        <v>-160</v>
      </c>
      <c r="V26" s="6">
        <f>RANK('1bezr.'!E25,'1bezr.'!$E$3:'1bezr.'!$E$28,1)+COUNTIF('1bezr.'!$E$3:'1bezr.'!E25,'1bezr.'!E25)-1</f>
        <v>9</v>
      </c>
      <c r="W26" s="165" t="str">
        <f>INDEX('1bezr.'!B3:G28,MATCH(23,V4:V29,0),1)</f>
        <v>Rzeszów</v>
      </c>
      <c r="X26" s="166">
        <f>INDEX('1bezr.'!E3:G28,MATCH(23,V4:V29,0),1)</f>
        <v>99</v>
      </c>
      <c r="Y26" s="167">
        <v>18</v>
      </c>
      <c r="Z26" s="2"/>
      <c r="AA26" s="6">
        <f>RANK('1bezr.'!C25,'1bezr.'!$C$3:'1bezr.'!$C$28,1)+COUNTIF('1bezr.'!$C$3:'1bezr.'!C25,'1bezr.'!C25)-1</f>
        <v>11</v>
      </c>
      <c r="AB26" s="142" t="str">
        <f>INDEX('1bezr.'!B3:G28,MATCH(3,AA4:AA29,0),1)</f>
        <v>Tarnobrzeg</v>
      </c>
      <c r="AC26" s="6">
        <f>INDEX('1bezr.'!B3:K28,MATCH(3,AA4:AA29,0),2)</f>
        <v>1058</v>
      </c>
      <c r="AE26" s="6">
        <f>RANK('1bezr.'!C25,'1bezr.'!$C$3:'1bezr.'!$C$28,1)+COUNTIF('1bezr.'!$C$3:'1bezr.'!C25,'1bezr.'!C25)-1</f>
        <v>11</v>
      </c>
      <c r="AF26" s="142" t="str">
        <f>INDEX('1bezr.'!B3:G28,MATCH(23,AE4:AE29,0),1)</f>
        <v>rzeszowski</v>
      </c>
      <c r="AG26" s="6">
        <f>INDEX('1bezr.'!B3:K28,MATCH(23,AE4:AE29,0),2)</f>
        <v>4458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4706</v>
      </c>
      <c r="E27" s="42">
        <f>INDEX('1bezr.'!B3:G28,MATCH(24,B4:B29,0),3)</f>
        <v>4693</v>
      </c>
      <c r="F27" s="6">
        <f>INDEX('1bezr.'!B3:G28,MATCH(24,B4:B29,0),4)</f>
        <v>13</v>
      </c>
      <c r="G27" s="42">
        <f>INDEX('1bezr.'!B3:G28,MATCH(24,B4:B29,0),5)</f>
        <v>4709</v>
      </c>
      <c r="H27" s="6">
        <f>INDEX('1bezr.'!B3:G28,MATCH(24,B4:B29,0),6)</f>
        <v>-3</v>
      </c>
      <c r="V27" s="6">
        <f>RANK('1bezr.'!E26,'1bezr.'!$E$3:'1bezr.'!$E$28,1)+COUNTIF('1bezr.'!$E$3:'1bezr.'!E26,'1bezr.'!E26)-1</f>
        <v>23</v>
      </c>
      <c r="W27" s="165" t="str">
        <f>INDEX('1bezr.'!B3:G28,MATCH(24,V4:V29,0),1)</f>
        <v>stalowowolski</v>
      </c>
      <c r="X27" s="166">
        <f>INDEX('1bezr.'!E3:G28,MATCH(24,V4:V29,0),1)</f>
        <v>100</v>
      </c>
      <c r="Y27" s="167">
        <v>19</v>
      </c>
      <c r="Z27" s="2"/>
      <c r="AA27" s="6">
        <f>RANK('1bezr.'!C26,'1bezr.'!$C$3:'1bezr.'!$C$28,1)+COUNTIF('1bezr.'!$C$3:'1bezr.'!C26,'1bezr.'!C26)-1</f>
        <v>25</v>
      </c>
      <c r="AB27" s="142" t="str">
        <f>INDEX('1bezr.'!B3:G28,MATCH(2,AA4:AA29,0),1)</f>
        <v>bieszczadzki</v>
      </c>
      <c r="AC27" s="6">
        <f>INDEX('1bezr.'!B3:K28,MATCH(2,AA4:AA29,0),2)</f>
        <v>1000</v>
      </c>
      <c r="AE27" s="6">
        <f>RANK('1bezr.'!C26,'1bezr.'!$C$3:'1bezr.'!$C$28,1)+COUNTIF('1bezr.'!$C$3:'1bezr.'!C26,'1bezr.'!C26)-1</f>
        <v>25</v>
      </c>
      <c r="AF27" s="142" t="str">
        <f>INDEX('1bezr.'!B3:G28,MATCH(24,AE4:AE29,0),1)</f>
        <v>jasielski</v>
      </c>
      <c r="AG27" s="6">
        <f>INDEX('1bezr.'!B3:K28,MATCH(24,AE4:AE29,0),2)</f>
        <v>4706</v>
      </c>
    </row>
    <row r="28" spans="2:33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Rzeszów</v>
      </c>
      <c r="D28" s="6">
        <f>INDEX('1bezr.'!B3:G28,MATCH(25,B4:B29,0),2)</f>
        <v>5032</v>
      </c>
      <c r="E28" s="42">
        <f>INDEX('1bezr.'!B3:G28,MATCH(25,B4:B29,0),3)</f>
        <v>4933</v>
      </c>
      <c r="F28" s="6">
        <f>INDEX('1bezr.'!B3:G28,MATCH(25,B4:B29,0),4)</f>
        <v>99</v>
      </c>
      <c r="G28" s="42">
        <f>INDEX('1bezr.'!B3:G28,MATCH(25,B4:B29,0),5)</f>
        <v>5304</v>
      </c>
      <c r="H28" s="6">
        <f>INDEX('1bezr.'!B3:G28,MATCH(25,B4:B29,0),6)</f>
        <v>-272</v>
      </c>
      <c r="V28" s="6">
        <f>RANK('1bezr.'!E27,'1bezr.'!$E$3:'1bezr.'!$E$28,1)+COUNTIF('1bezr.'!$E$3:'1bezr.'!E27,'1bezr.'!E27)-1</f>
        <v>14</v>
      </c>
      <c r="W28" s="165" t="str">
        <f>INDEX('1bezr.'!B3:G28,MATCH(25,V4:V29,0),1)</f>
        <v>mielecki</v>
      </c>
      <c r="X28" s="166">
        <f>INDEX('1bezr.'!E3:G28,MATCH(25,V4:V29,0),1)</f>
        <v>121</v>
      </c>
      <c r="Y28" s="167">
        <v>20</v>
      </c>
      <c r="Z28" s="2"/>
      <c r="AA28" s="6">
        <f>RANK('1bezr.'!C27,'1bezr.'!$C$3:'1bezr.'!$C$28,1)+COUNTIF('1bezr.'!$C$3:'1bezr.'!C27,'1bezr.'!C27)-1</f>
        <v>3</v>
      </c>
      <c r="AB28" s="142" t="str">
        <f>INDEX('1bezr.'!B3:G28,MATCH(1,AA4:AA29,0),1)</f>
        <v>Krosno</v>
      </c>
      <c r="AC28" s="6">
        <f>INDEX('1bezr.'!B3:K28,MATCH(1,AA4:AA29,0),2)</f>
        <v>784</v>
      </c>
      <c r="AE28" s="6">
        <f>RANK('1bezr.'!C27,'1bezr.'!$C$3:'1bezr.'!$C$28,1)+COUNTIF('1bezr.'!$C$3:'1bezr.'!C27,'1bezr.'!C27)-1</f>
        <v>3</v>
      </c>
      <c r="AF28" s="142" t="str">
        <f>INDEX('1bezr.'!B3:G28,MATCH(25,AE4:AE29,0),1)</f>
        <v>Rzeszów</v>
      </c>
      <c r="AG28" s="6">
        <f>INDEX('1bezr.'!B3:K28,MATCH(25,AE4:AE29,0),2)</f>
        <v>5032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64586</v>
      </c>
      <c r="E29" s="44">
        <f>INDEX('1bezr.'!B3:G28,MATCH(26,B4:B29,0),3)</f>
        <v>63814</v>
      </c>
      <c r="F29" s="40">
        <f>INDEX('1bezr.'!B3:G28,MATCH(26,B4:B29,0),4)</f>
        <v>772</v>
      </c>
      <c r="G29" s="44">
        <f>INDEX('1bezr.'!B3:G28,MATCH(26,B4:B29,0),5)</f>
        <v>65444</v>
      </c>
      <c r="H29" s="40">
        <f>INDEX('1bezr.'!B3:G28,MATCH(26,B4:B29,0),6)</f>
        <v>-858</v>
      </c>
      <c r="V29" s="6">
        <f>RANK('1bezr.'!E28,'1bezr.'!$E$3:'1bezr.'!$E$28,1)+COUNTIF('1bezr.'!$E$3:'1bezr.'!E28,'1bezr.'!E28)-1</f>
        <v>26</v>
      </c>
      <c r="W29" s="170" t="str">
        <f>INDEX('1bezr.'!B3:G28,MATCH(26,V4:V29,0),1)</f>
        <v>województwo</v>
      </c>
      <c r="X29" s="6">
        <f>INDEX('1bezr.'!E3:G28,MATCH(26,V4:V29,0),1)</f>
        <v>772</v>
      </c>
      <c r="Y29" s="168"/>
      <c r="Z29" s="2"/>
      <c r="AA29" s="6">
        <f>RANK('1bezr.'!C28,'1bezr.'!$C$3:'1bezr.'!$C$28,1)+COUNTIF('1bezr.'!$C$3:'1bezr.'!C28,'1bezr.'!C28)-1</f>
        <v>26</v>
      </c>
      <c r="AB29" s="143" t="str">
        <f>INDEX('1bezr.'!B3:G28,MATCH(26,AA4:AA29,0),1)</f>
        <v>województwo</v>
      </c>
      <c r="AC29" s="76">
        <f>INDEX('1bezr.'!B3:K28,MATCH(26,AA4:AA29,0),2)</f>
        <v>64586</v>
      </c>
      <c r="AE29" s="6">
        <f>RANK('1bezr.'!C28,'1bezr.'!$C$3:'1bezr.'!$C$28,1)+COUNTIF('1bezr.'!$C$3:'1bezr.'!C28,'1bezr.'!C28)-1</f>
        <v>26</v>
      </c>
      <c r="AF29" s="143" t="str">
        <f>INDEX('1bezr.'!B3:G28,MATCH(26,AE4:AE29,0),1)</f>
        <v>województwo</v>
      </c>
      <c r="AG29" s="76">
        <f>INDEX('1bezr.'!B3:K28,MATCH(26,AE4:AE29,0),2)</f>
        <v>64586</v>
      </c>
    </row>
    <row r="30" spans="2:33" x14ac:dyDescent="0.2">
      <c r="F30" s="19"/>
      <c r="H30" s="19"/>
      <c r="X30" s="49">
        <f>SUM(X4:X28)</f>
        <v>772</v>
      </c>
      <c r="Y30" s="49"/>
      <c r="AC30" s="49">
        <f>SUM(AC4:AC28)</f>
        <v>64586</v>
      </c>
      <c r="AG30" s="49">
        <f>SUM(AG4:AG28)</f>
        <v>64586</v>
      </c>
    </row>
  </sheetData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79</v>
      </c>
      <c r="D2" s="38" t="s">
        <v>74</v>
      </c>
      <c r="E2" s="37" t="s">
        <v>28</v>
      </c>
      <c r="F2" s="38" t="s">
        <v>80</v>
      </c>
      <c r="G2" s="37" t="s">
        <v>26</v>
      </c>
      <c r="I2" s="36" t="s">
        <v>27</v>
      </c>
      <c r="J2" s="37" t="str">
        <f>T('1bezr.'!C2)</f>
        <v>liczba bezrobotnych ogółem stan na 31-07-'24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472</v>
      </c>
      <c r="D3" s="42">
        <v>481</v>
      </c>
      <c r="E3" s="6">
        <f t="shared" ref="E3:E26" si="0">SUM(C3)-D3</f>
        <v>-9</v>
      </c>
      <c r="F3" s="42">
        <v>501</v>
      </c>
      <c r="G3" s="6">
        <f t="shared" ref="G3:G26" si="1">SUM(C3)-F3</f>
        <v>-29</v>
      </c>
      <c r="I3" s="5" t="s">
        <v>0</v>
      </c>
      <c r="J3" s="6">
        <f>SUM('1bezr.'!C3)</f>
        <v>1000</v>
      </c>
      <c r="K3" s="6">
        <f>SUM(C3)</f>
        <v>472</v>
      </c>
      <c r="L3" s="23">
        <f t="shared" ref="L3:L28" si="2">SUM(K3)/J3*100</f>
        <v>47.199999999999996</v>
      </c>
    </row>
    <row r="4" spans="2:12" x14ac:dyDescent="0.2">
      <c r="B4" s="5" t="s">
        <v>1</v>
      </c>
      <c r="C4" s="6">
        <v>1818</v>
      </c>
      <c r="D4" s="42">
        <v>1736</v>
      </c>
      <c r="E4" s="6">
        <f t="shared" si="0"/>
        <v>82</v>
      </c>
      <c r="F4" s="42">
        <v>1942</v>
      </c>
      <c r="G4" s="6">
        <f t="shared" si="1"/>
        <v>-124</v>
      </c>
      <c r="I4" s="5" t="s">
        <v>1</v>
      </c>
      <c r="J4" s="6">
        <f>SUM('1bezr.'!C4)</f>
        <v>3484</v>
      </c>
      <c r="K4" s="6">
        <f t="shared" ref="K4:K27" si="3">SUM(C4)</f>
        <v>1818</v>
      </c>
      <c r="L4" s="23">
        <f t="shared" si="2"/>
        <v>52.181400688863377</v>
      </c>
    </row>
    <row r="5" spans="2:12" x14ac:dyDescent="0.2">
      <c r="B5" s="5" t="s">
        <v>2</v>
      </c>
      <c r="C5" s="6">
        <v>1397</v>
      </c>
      <c r="D5" s="42">
        <v>1363</v>
      </c>
      <c r="E5" s="6">
        <f t="shared" si="0"/>
        <v>34</v>
      </c>
      <c r="F5" s="42">
        <v>1461</v>
      </c>
      <c r="G5" s="6">
        <f t="shared" si="1"/>
        <v>-64</v>
      </c>
      <c r="I5" s="5" t="s">
        <v>2</v>
      </c>
      <c r="J5" s="6">
        <f>SUM('1bezr.'!C5)</f>
        <v>2221</v>
      </c>
      <c r="K5" s="6">
        <f t="shared" si="3"/>
        <v>1397</v>
      </c>
      <c r="L5" s="23">
        <f t="shared" si="2"/>
        <v>62.899594777127419</v>
      </c>
    </row>
    <row r="6" spans="2:12" x14ac:dyDescent="0.2">
      <c r="B6" s="5" t="s">
        <v>3</v>
      </c>
      <c r="C6" s="6">
        <v>2232</v>
      </c>
      <c r="D6" s="42">
        <v>2174</v>
      </c>
      <c r="E6" s="6">
        <f t="shared" si="0"/>
        <v>58</v>
      </c>
      <c r="F6" s="42">
        <v>2245</v>
      </c>
      <c r="G6" s="6">
        <f t="shared" si="1"/>
        <v>-13</v>
      </c>
      <c r="I6" s="5" t="s">
        <v>3</v>
      </c>
      <c r="J6" s="6">
        <f>SUM('1bezr.'!C6)</f>
        <v>4290</v>
      </c>
      <c r="K6" s="6">
        <f t="shared" si="3"/>
        <v>2232</v>
      </c>
      <c r="L6" s="23">
        <f t="shared" si="2"/>
        <v>52.027972027972027</v>
      </c>
    </row>
    <row r="7" spans="2:12" x14ac:dyDescent="0.2">
      <c r="B7" s="5" t="s">
        <v>4</v>
      </c>
      <c r="C7" s="6">
        <v>2742</v>
      </c>
      <c r="D7" s="42">
        <v>2729</v>
      </c>
      <c r="E7" s="6">
        <f t="shared" si="0"/>
        <v>13</v>
      </c>
      <c r="F7" s="42">
        <v>2718</v>
      </c>
      <c r="G7" s="6">
        <f t="shared" si="1"/>
        <v>24</v>
      </c>
      <c r="I7" s="5" t="s">
        <v>4</v>
      </c>
      <c r="J7" s="6">
        <f>SUM('1bezr.'!C7)</f>
        <v>4706</v>
      </c>
      <c r="K7" s="6">
        <f t="shared" si="3"/>
        <v>2742</v>
      </c>
      <c r="L7" s="23">
        <f t="shared" si="2"/>
        <v>58.266043348916277</v>
      </c>
    </row>
    <row r="8" spans="2:12" x14ac:dyDescent="0.2">
      <c r="B8" s="5" t="s">
        <v>5</v>
      </c>
      <c r="C8" s="6">
        <v>710</v>
      </c>
      <c r="D8" s="42">
        <v>706</v>
      </c>
      <c r="E8" s="6">
        <f t="shared" si="0"/>
        <v>4</v>
      </c>
      <c r="F8" s="42">
        <v>775</v>
      </c>
      <c r="G8" s="6">
        <f t="shared" si="1"/>
        <v>-65</v>
      </c>
      <c r="I8" s="5" t="s">
        <v>5</v>
      </c>
      <c r="J8" s="6">
        <f>SUM('1bezr.'!C8)</f>
        <v>1505</v>
      </c>
      <c r="K8" s="6">
        <f t="shared" si="3"/>
        <v>710</v>
      </c>
      <c r="L8" s="23">
        <f>SUM(K8)/J8*100</f>
        <v>47.176079734219265</v>
      </c>
    </row>
    <row r="9" spans="2:12" x14ac:dyDescent="0.2">
      <c r="B9" s="9" t="s">
        <v>6</v>
      </c>
      <c r="C9" s="6">
        <v>1176</v>
      </c>
      <c r="D9" s="42">
        <v>1161</v>
      </c>
      <c r="E9" s="6">
        <f t="shared" si="0"/>
        <v>15</v>
      </c>
      <c r="F9" s="42">
        <v>1147</v>
      </c>
      <c r="G9" s="6">
        <f t="shared" si="1"/>
        <v>29</v>
      </c>
      <c r="I9" s="9" t="s">
        <v>6</v>
      </c>
      <c r="J9" s="6">
        <f>SUM('1bezr.'!C9)</f>
        <v>2158</v>
      </c>
      <c r="K9" s="6">
        <f t="shared" si="3"/>
        <v>1176</v>
      </c>
      <c r="L9" s="23">
        <f t="shared" si="2"/>
        <v>54.494902687673772</v>
      </c>
    </row>
    <row r="10" spans="2:12" x14ac:dyDescent="0.2">
      <c r="B10" s="5" t="s">
        <v>7</v>
      </c>
      <c r="C10" s="6">
        <v>675</v>
      </c>
      <c r="D10" s="42">
        <v>697</v>
      </c>
      <c r="E10" s="6">
        <f t="shared" si="0"/>
        <v>-22</v>
      </c>
      <c r="F10" s="42">
        <v>698</v>
      </c>
      <c r="G10" s="6">
        <f t="shared" si="1"/>
        <v>-23</v>
      </c>
      <c r="I10" s="5" t="s">
        <v>7</v>
      </c>
      <c r="J10" s="6">
        <f>SUM('1bezr.'!C10)</f>
        <v>1492</v>
      </c>
      <c r="K10" s="6">
        <f t="shared" si="3"/>
        <v>675</v>
      </c>
      <c r="L10" s="23">
        <f t="shared" si="2"/>
        <v>45.24128686327078</v>
      </c>
    </row>
    <row r="11" spans="2:12" x14ac:dyDescent="0.2">
      <c r="B11" s="5" t="s">
        <v>8</v>
      </c>
      <c r="C11" s="6">
        <v>1471</v>
      </c>
      <c r="D11" s="42">
        <v>1462</v>
      </c>
      <c r="E11" s="6">
        <f t="shared" si="0"/>
        <v>9</v>
      </c>
      <c r="F11" s="42">
        <v>1559</v>
      </c>
      <c r="G11" s="6">
        <f t="shared" si="1"/>
        <v>-88</v>
      </c>
      <c r="I11" s="5" t="s">
        <v>8</v>
      </c>
      <c r="J11" s="6">
        <f>SUM('1bezr.'!C11)</f>
        <v>2812</v>
      </c>
      <c r="K11" s="6">
        <f t="shared" si="3"/>
        <v>1471</v>
      </c>
      <c r="L11" s="23">
        <f t="shared" si="2"/>
        <v>52.311522048364154</v>
      </c>
    </row>
    <row r="12" spans="2:12" x14ac:dyDescent="0.2">
      <c r="B12" s="5" t="s">
        <v>9</v>
      </c>
      <c r="C12" s="6">
        <v>753</v>
      </c>
      <c r="D12" s="42">
        <v>732</v>
      </c>
      <c r="E12" s="6">
        <f t="shared" si="0"/>
        <v>21</v>
      </c>
      <c r="F12" s="42">
        <v>762</v>
      </c>
      <c r="G12" s="6">
        <f t="shared" si="1"/>
        <v>-9</v>
      </c>
      <c r="I12" s="5" t="s">
        <v>9</v>
      </c>
      <c r="J12" s="6">
        <f>SUM('1bezr.'!C12)</f>
        <v>1594</v>
      </c>
      <c r="K12" s="6">
        <f t="shared" si="3"/>
        <v>753</v>
      </c>
      <c r="L12" s="23">
        <f t="shared" si="2"/>
        <v>47.239648682559597</v>
      </c>
    </row>
    <row r="13" spans="2:12" x14ac:dyDescent="0.2">
      <c r="B13" s="5" t="s">
        <v>10</v>
      </c>
      <c r="C13" s="6">
        <v>1166</v>
      </c>
      <c r="D13" s="42">
        <v>1166</v>
      </c>
      <c r="E13" s="6">
        <f t="shared" si="0"/>
        <v>0</v>
      </c>
      <c r="F13" s="42">
        <v>1260</v>
      </c>
      <c r="G13" s="6">
        <f t="shared" si="1"/>
        <v>-94</v>
      </c>
      <c r="I13" s="5" t="s">
        <v>10</v>
      </c>
      <c r="J13" s="6">
        <f>SUM('1bezr.'!C13)</f>
        <v>2387</v>
      </c>
      <c r="K13" s="6">
        <f t="shared" si="3"/>
        <v>1166</v>
      </c>
      <c r="L13" s="23">
        <f t="shared" si="2"/>
        <v>48.847926267281103</v>
      </c>
    </row>
    <row r="14" spans="2:12" x14ac:dyDescent="0.2">
      <c r="B14" s="5" t="s">
        <v>11</v>
      </c>
      <c r="C14" s="6">
        <v>1483</v>
      </c>
      <c r="D14" s="42">
        <v>1418</v>
      </c>
      <c r="E14" s="6">
        <f t="shared" si="0"/>
        <v>65</v>
      </c>
      <c r="F14" s="42">
        <v>1462</v>
      </c>
      <c r="G14" s="6">
        <f t="shared" si="1"/>
        <v>21</v>
      </c>
      <c r="I14" s="5" t="s">
        <v>11</v>
      </c>
      <c r="J14" s="6">
        <f>SUM('1bezr.'!C14)</f>
        <v>2993</v>
      </c>
      <c r="K14" s="6">
        <f t="shared" si="3"/>
        <v>1483</v>
      </c>
      <c r="L14" s="23">
        <f t="shared" si="2"/>
        <v>49.548947544269964</v>
      </c>
    </row>
    <row r="15" spans="2:12" x14ac:dyDescent="0.2">
      <c r="B15" s="5" t="s">
        <v>12</v>
      </c>
      <c r="C15" s="6">
        <v>1460</v>
      </c>
      <c r="D15" s="42">
        <v>1409</v>
      </c>
      <c r="E15" s="6">
        <f t="shared" si="0"/>
        <v>51</v>
      </c>
      <c r="F15" s="42">
        <v>1579</v>
      </c>
      <c r="G15" s="6">
        <f t="shared" si="1"/>
        <v>-119</v>
      </c>
      <c r="I15" s="5" t="s">
        <v>12</v>
      </c>
      <c r="J15" s="6">
        <f>SUM('1bezr.'!C15)</f>
        <v>2878</v>
      </c>
      <c r="K15" s="6">
        <f t="shared" si="3"/>
        <v>1460</v>
      </c>
      <c r="L15" s="23">
        <f t="shared" si="2"/>
        <v>50.729673384294649</v>
      </c>
    </row>
    <row r="16" spans="2:12" x14ac:dyDescent="0.2">
      <c r="B16" s="5" t="s">
        <v>13</v>
      </c>
      <c r="C16" s="6">
        <v>1391</v>
      </c>
      <c r="D16" s="42">
        <v>1366</v>
      </c>
      <c r="E16" s="6">
        <f t="shared" si="0"/>
        <v>25</v>
      </c>
      <c r="F16" s="42">
        <v>1450</v>
      </c>
      <c r="G16" s="6">
        <f t="shared" si="1"/>
        <v>-59</v>
      </c>
      <c r="I16" s="5" t="s">
        <v>13</v>
      </c>
      <c r="J16" s="6">
        <f>SUM('1bezr.'!C16)</f>
        <v>2771</v>
      </c>
      <c r="K16" s="6">
        <f t="shared" si="3"/>
        <v>1391</v>
      </c>
      <c r="L16" s="23">
        <f t="shared" si="2"/>
        <v>50.198484301696134</v>
      </c>
    </row>
    <row r="17" spans="2:12" x14ac:dyDescent="0.2">
      <c r="B17" s="5" t="s">
        <v>14</v>
      </c>
      <c r="C17" s="6">
        <v>1711</v>
      </c>
      <c r="D17" s="42">
        <v>1707</v>
      </c>
      <c r="E17" s="6">
        <f t="shared" si="0"/>
        <v>4</v>
      </c>
      <c r="F17" s="42">
        <v>1791</v>
      </c>
      <c r="G17" s="6">
        <f t="shared" si="1"/>
        <v>-80</v>
      </c>
      <c r="I17" s="5" t="s">
        <v>14</v>
      </c>
      <c r="J17" s="6">
        <f>SUM('1bezr.'!C17)</f>
        <v>3169</v>
      </c>
      <c r="K17" s="6">
        <f t="shared" si="3"/>
        <v>1711</v>
      </c>
      <c r="L17" s="23">
        <f t="shared" si="2"/>
        <v>53.991795519091198</v>
      </c>
    </row>
    <row r="18" spans="2:12" x14ac:dyDescent="0.2">
      <c r="B18" s="5" t="s">
        <v>15</v>
      </c>
      <c r="C18" s="6">
        <v>1380</v>
      </c>
      <c r="D18" s="42">
        <v>1359</v>
      </c>
      <c r="E18" s="6">
        <f t="shared" si="0"/>
        <v>21</v>
      </c>
      <c r="F18" s="42">
        <v>1402</v>
      </c>
      <c r="G18" s="6">
        <f t="shared" si="1"/>
        <v>-22</v>
      </c>
      <c r="I18" s="5" t="s">
        <v>15</v>
      </c>
      <c r="J18" s="6">
        <f>SUM('1bezr.'!C18)</f>
        <v>2570</v>
      </c>
      <c r="K18" s="6">
        <f t="shared" si="3"/>
        <v>1380</v>
      </c>
      <c r="L18" s="23">
        <f t="shared" si="2"/>
        <v>53.696498054474709</v>
      </c>
    </row>
    <row r="19" spans="2:12" x14ac:dyDescent="0.2">
      <c r="B19" s="5" t="s">
        <v>16</v>
      </c>
      <c r="C19" s="6">
        <v>2195</v>
      </c>
      <c r="D19" s="42">
        <v>2117</v>
      </c>
      <c r="E19" s="6">
        <f t="shared" si="0"/>
        <v>78</v>
      </c>
      <c r="F19" s="42">
        <v>2329</v>
      </c>
      <c r="G19" s="6">
        <f t="shared" si="1"/>
        <v>-134</v>
      </c>
      <c r="I19" s="5" t="s">
        <v>16</v>
      </c>
      <c r="J19" s="6">
        <f>SUM('1bezr.'!C19)</f>
        <v>4458</v>
      </c>
      <c r="K19" s="6">
        <f t="shared" si="3"/>
        <v>2195</v>
      </c>
      <c r="L19" s="23">
        <f t="shared" si="2"/>
        <v>49.237326155226555</v>
      </c>
    </row>
    <row r="20" spans="2:12" x14ac:dyDescent="0.2">
      <c r="B20" s="5" t="s">
        <v>17</v>
      </c>
      <c r="C20" s="6">
        <v>1344</v>
      </c>
      <c r="D20" s="42">
        <v>1309</v>
      </c>
      <c r="E20" s="6">
        <f t="shared" si="0"/>
        <v>35</v>
      </c>
      <c r="F20" s="42">
        <v>1366</v>
      </c>
      <c r="G20" s="6">
        <f t="shared" si="1"/>
        <v>-22</v>
      </c>
      <c r="I20" s="5" t="s">
        <v>17</v>
      </c>
      <c r="J20" s="6">
        <f>SUM('1bezr.'!C20)</f>
        <v>2721</v>
      </c>
      <c r="K20" s="6">
        <f t="shared" si="3"/>
        <v>1344</v>
      </c>
      <c r="L20" s="23">
        <f t="shared" si="2"/>
        <v>49.393605292171991</v>
      </c>
    </row>
    <row r="21" spans="2:12" x14ac:dyDescent="0.2">
      <c r="B21" s="5" t="s">
        <v>18</v>
      </c>
      <c r="C21" s="6">
        <v>1025</v>
      </c>
      <c r="D21" s="42">
        <v>965</v>
      </c>
      <c r="E21" s="6">
        <f t="shared" si="0"/>
        <v>60</v>
      </c>
      <c r="F21" s="42">
        <v>1035</v>
      </c>
      <c r="G21" s="6">
        <f t="shared" si="1"/>
        <v>-10</v>
      </c>
      <c r="I21" s="5" t="s">
        <v>18</v>
      </c>
      <c r="J21" s="6">
        <f>SUM('1bezr.'!C21)</f>
        <v>1960</v>
      </c>
      <c r="K21" s="6">
        <f t="shared" si="3"/>
        <v>1025</v>
      </c>
      <c r="L21" s="23">
        <f t="shared" si="2"/>
        <v>52.295918367346935</v>
      </c>
    </row>
    <row r="22" spans="2:12" x14ac:dyDescent="0.2">
      <c r="B22" s="5" t="s">
        <v>19</v>
      </c>
      <c r="C22" s="6">
        <v>1574</v>
      </c>
      <c r="D22" s="42">
        <v>1538</v>
      </c>
      <c r="E22" s="6">
        <f t="shared" si="0"/>
        <v>36</v>
      </c>
      <c r="F22" s="42">
        <v>1596</v>
      </c>
      <c r="G22" s="6">
        <f t="shared" si="1"/>
        <v>-22</v>
      </c>
      <c r="I22" s="5" t="s">
        <v>19</v>
      </c>
      <c r="J22" s="6">
        <f>SUM('1bezr.'!C22)</f>
        <v>3042</v>
      </c>
      <c r="K22" s="6">
        <f t="shared" si="3"/>
        <v>1574</v>
      </c>
      <c r="L22" s="23">
        <f t="shared" si="2"/>
        <v>51.742274819197895</v>
      </c>
    </row>
    <row r="23" spans="2:12" x14ac:dyDescent="0.2">
      <c r="B23" s="5" t="s">
        <v>20</v>
      </c>
      <c r="C23" s="6">
        <v>642</v>
      </c>
      <c r="D23" s="42">
        <v>602</v>
      </c>
      <c r="E23" s="6">
        <f t="shared" si="0"/>
        <v>40</v>
      </c>
      <c r="F23" s="42">
        <v>659</v>
      </c>
      <c r="G23" s="6">
        <f t="shared" si="1"/>
        <v>-17</v>
      </c>
      <c r="I23" s="5" t="s">
        <v>20</v>
      </c>
      <c r="J23" s="6">
        <f>SUM('1bezr.'!C23)</f>
        <v>1252</v>
      </c>
      <c r="K23" s="6">
        <f t="shared" si="3"/>
        <v>642</v>
      </c>
      <c r="L23" s="23">
        <f t="shared" si="2"/>
        <v>51.277955271565503</v>
      </c>
    </row>
    <row r="24" spans="2:12" x14ac:dyDescent="0.2">
      <c r="B24" s="5" t="s">
        <v>21</v>
      </c>
      <c r="C24" s="6">
        <v>427</v>
      </c>
      <c r="D24" s="42">
        <v>411</v>
      </c>
      <c r="E24" s="6">
        <f t="shared" si="0"/>
        <v>16</v>
      </c>
      <c r="F24" s="42">
        <v>401</v>
      </c>
      <c r="G24" s="6">
        <f t="shared" si="1"/>
        <v>26</v>
      </c>
      <c r="I24" s="5" t="s">
        <v>21</v>
      </c>
      <c r="J24" s="6">
        <f>SUM('1bezr.'!C24)</f>
        <v>784</v>
      </c>
      <c r="K24" s="6">
        <f t="shared" si="3"/>
        <v>427</v>
      </c>
      <c r="L24" s="23">
        <f t="shared" si="2"/>
        <v>54.464285714285708</v>
      </c>
    </row>
    <row r="25" spans="2:12" x14ac:dyDescent="0.2">
      <c r="B25" s="5" t="s">
        <v>22</v>
      </c>
      <c r="C25" s="6">
        <v>1081</v>
      </c>
      <c r="D25" s="42">
        <v>1079</v>
      </c>
      <c r="E25" s="6">
        <f t="shared" si="0"/>
        <v>2</v>
      </c>
      <c r="F25" s="42">
        <v>1178</v>
      </c>
      <c r="G25" s="6">
        <f t="shared" si="1"/>
        <v>-97</v>
      </c>
      <c r="I25" s="5" t="s">
        <v>22</v>
      </c>
      <c r="J25" s="6">
        <f>SUM('1bezr.'!C25)</f>
        <v>2249</v>
      </c>
      <c r="K25" s="6">
        <f t="shared" si="3"/>
        <v>1081</v>
      </c>
      <c r="L25" s="23">
        <f t="shared" si="2"/>
        <v>48.065807025344597</v>
      </c>
    </row>
    <row r="26" spans="2:12" x14ac:dyDescent="0.2">
      <c r="B26" s="5" t="s">
        <v>23</v>
      </c>
      <c r="C26" s="6">
        <v>2563</v>
      </c>
      <c r="D26" s="42">
        <v>2479</v>
      </c>
      <c r="E26" s="6">
        <f t="shared" si="0"/>
        <v>84</v>
      </c>
      <c r="F26" s="42">
        <v>2752</v>
      </c>
      <c r="G26" s="6">
        <f t="shared" si="1"/>
        <v>-189</v>
      </c>
      <c r="I26" s="5" t="s">
        <v>23</v>
      </c>
      <c r="J26" s="6">
        <f>SUM('1bezr.'!C26)</f>
        <v>5032</v>
      </c>
      <c r="K26" s="6">
        <f t="shared" si="3"/>
        <v>2563</v>
      </c>
      <c r="L26" s="23">
        <f t="shared" si="2"/>
        <v>50.934022257551668</v>
      </c>
    </row>
    <row r="27" spans="2:12" x14ac:dyDescent="0.2">
      <c r="B27" s="5" t="s">
        <v>24</v>
      </c>
      <c r="C27" s="6">
        <v>510</v>
      </c>
      <c r="D27" s="42">
        <v>498</v>
      </c>
      <c r="E27" s="6">
        <f>SUM(C27)-D27</f>
        <v>12</v>
      </c>
      <c r="F27" s="42">
        <v>544</v>
      </c>
      <c r="G27" s="6">
        <f>SUM(C27)-F27</f>
        <v>-34</v>
      </c>
      <c r="I27" s="5" t="s">
        <v>24</v>
      </c>
      <c r="J27" s="6">
        <f>SUM('1bezr.'!C27)</f>
        <v>1058</v>
      </c>
      <c r="K27" s="6">
        <f t="shared" si="3"/>
        <v>510</v>
      </c>
      <c r="L27" s="23">
        <f t="shared" si="2"/>
        <v>48.204158790170133</v>
      </c>
    </row>
    <row r="28" spans="2:12" ht="15" x14ac:dyDescent="0.25">
      <c r="B28" s="39" t="s">
        <v>25</v>
      </c>
      <c r="C28" s="40">
        <f>SUM(C3:C27)</f>
        <v>33398</v>
      </c>
      <c r="D28" s="41">
        <f>SUM(D3:D27)</f>
        <v>32664</v>
      </c>
      <c r="E28" s="40">
        <f>SUM(E3:E27)</f>
        <v>734</v>
      </c>
      <c r="F28" s="41">
        <f>SUM(F3:F27)</f>
        <v>34612</v>
      </c>
      <c r="G28" s="40">
        <f>SUM(G3:G27)</f>
        <v>-1214</v>
      </c>
      <c r="I28" s="39" t="s">
        <v>25</v>
      </c>
      <c r="J28" s="40">
        <f>SUM(J3:J27)</f>
        <v>64586</v>
      </c>
      <c r="K28" s="40">
        <f>SUM(K3:K27)</f>
        <v>33398</v>
      </c>
      <c r="L28" s="45">
        <f t="shared" si="2"/>
        <v>51.710897098442388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31-07-'24 r.</v>
      </c>
      <c r="E3" s="36" t="str">
        <f>T('2kob.'!D2)</f>
        <v>liczba bezrobotnych kobiet stan na 30-06-'24 r.</v>
      </c>
      <c r="F3" s="36" t="str">
        <f>T('2kob.'!E2)</f>
        <v>wzrost/spadek do poprzedniego  miesiąca</v>
      </c>
      <c r="G3" s="36" t="str">
        <f>T('2kob.'!F2)</f>
        <v>liczba bezrobotnych kobiet stan na 31-07-'23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4">
        <f>INDEX('2kob.'!B3:G28,MATCH(1,B4:B29,0),2)</f>
        <v>427</v>
      </c>
      <c r="E4" s="42">
        <f>INDEX('2kob.'!B3:G28,MATCH(1,B4:B29,0),3)</f>
        <v>411</v>
      </c>
      <c r="F4" s="6">
        <f>INDEX('2kob.'!B3:G28,MATCH(1,B4:B29,0),4)</f>
        <v>16</v>
      </c>
      <c r="G4" s="42">
        <f>INDEX('2kob.'!B3:G28,MATCH(1,B4:B29,0),5)</f>
        <v>401</v>
      </c>
      <c r="H4" s="6">
        <f>INDEX('2kob.'!B3:G28,MATCH(1,B4:B29,0),6)</f>
        <v>26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472</v>
      </c>
      <c r="E5" s="42">
        <f>INDEX('2kob.'!B3:G28,MATCH(2,B4:B29,0),3)</f>
        <v>481</v>
      </c>
      <c r="F5" s="6">
        <f>INDEX('2kob.'!B3:G28,MATCH(2,B4:B29,0),4)</f>
        <v>-9</v>
      </c>
      <c r="G5" s="42">
        <f>INDEX('2kob.'!B3:G28,MATCH(2,B4:B29,0),5)</f>
        <v>501</v>
      </c>
      <c r="H5" s="6">
        <f>INDEX('2kob.'!B3:G28,MATCH(2,B4:B29,0),6)</f>
        <v>-29</v>
      </c>
    </row>
    <row r="6" spans="2:8" x14ac:dyDescent="0.2">
      <c r="B6" s="6">
        <f>RANK('2kob.'!C5,'2kob.'!$C$3:'2kob.'!$C$28,1)+COUNTIF('2kob.'!$C$3:'2kob.'!C5,'2kob.'!C5)-1</f>
        <v>15</v>
      </c>
      <c r="C6" s="5" t="str">
        <f>INDEX('2kob.'!B3:G28,MATCH(3,B4:B29,0),1)</f>
        <v>Tarnobrzeg</v>
      </c>
      <c r="D6" s="6">
        <f>INDEX('2kob.'!B3:G28,MATCH(3,B4:B29,0),2)</f>
        <v>510</v>
      </c>
      <c r="E6" s="42">
        <f>INDEX('2kob.'!B3:G28,MATCH(3,B4:B29,0),3)</f>
        <v>498</v>
      </c>
      <c r="F6" s="6">
        <f>INDEX('2kob.'!B3:G28,MATCH(3,B4:B29,0),4)</f>
        <v>12</v>
      </c>
      <c r="G6" s="42">
        <f>INDEX('2kob.'!B3:G28,MATCH(3,B4:B29,0),5)</f>
        <v>544</v>
      </c>
      <c r="H6" s="6">
        <f>INDEX('2kob.'!B3:G28,MATCH(3,B4:B29,0),6)</f>
        <v>-34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642</v>
      </c>
      <c r="E7" s="42">
        <f>INDEX('2kob.'!B3:G28,MATCH(4,B4:B29,0),3)</f>
        <v>602</v>
      </c>
      <c r="F7" s="6">
        <f>INDEX('2kob.'!B3:G28,MATCH(4,B4:B29,0),4)</f>
        <v>40</v>
      </c>
      <c r="G7" s="42">
        <f>INDEX('2kob.'!B3:G28,MATCH(4,B4:B29,0),5)</f>
        <v>659</v>
      </c>
      <c r="H7" s="6">
        <f>INDEX('2kob.'!B3:G28,MATCH(4,B4:B29,0),6)</f>
        <v>-17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leski</v>
      </c>
      <c r="D8" s="6">
        <f>INDEX('2kob.'!B3:G28,MATCH(5,B4:B29,0),2)</f>
        <v>675</v>
      </c>
      <c r="E8" s="42">
        <f>INDEX('2kob.'!B3:G28,MATCH(5,B4:B29,0),3)</f>
        <v>697</v>
      </c>
      <c r="F8" s="6">
        <f>INDEX('2kob.'!B3:G28,MATCH(5,B4:B29,0),4)</f>
        <v>-22</v>
      </c>
      <c r="G8" s="42">
        <f>INDEX('2kob.'!B3:G28,MATCH(5,B4:B29,0),5)</f>
        <v>698</v>
      </c>
      <c r="H8" s="6">
        <f>INDEX('2kob.'!B3:G28,MATCH(5,B4:B29,0),6)</f>
        <v>-23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710</v>
      </c>
      <c r="E9" s="42">
        <f>INDEX('2kob.'!B3:G28,MATCH(6,B4:B29,0),3)</f>
        <v>706</v>
      </c>
      <c r="F9" s="6">
        <f>INDEX('2kob.'!B3:G28,MATCH(6,B4:B29,0),4)</f>
        <v>4</v>
      </c>
      <c r="G9" s="42">
        <f>INDEX('2kob.'!B3:G28,MATCH(6,B4:B29,0),5)</f>
        <v>775</v>
      </c>
      <c r="H9" s="6">
        <f>INDEX('2kob.'!B3:G28,MATCH(6,B4:B29,0),6)</f>
        <v>-65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753</v>
      </c>
      <c r="E10" s="42">
        <f>INDEX('2kob.'!B3:G28,MATCH(7,B4:B29,0),3)</f>
        <v>732</v>
      </c>
      <c r="F10" s="6">
        <f>INDEX('2kob.'!B3:G28,MATCH(7,B4:B29,0),4)</f>
        <v>21</v>
      </c>
      <c r="G10" s="42">
        <f>INDEX('2kob.'!B3:G28,MATCH(7,B4:B29,0),5)</f>
        <v>762</v>
      </c>
      <c r="H10" s="6">
        <f>INDEX('2kob.'!B3:G28,MATCH(7,B4:B29,0),6)</f>
        <v>-9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stalowowolski</v>
      </c>
      <c r="D11" s="6">
        <f>INDEX('2kob.'!B3:G28,MATCH(8,B4:B29,0),2)</f>
        <v>1025</v>
      </c>
      <c r="E11" s="42">
        <f>INDEX('2kob.'!B3:G28,MATCH(8,B4:B29,0),3)</f>
        <v>965</v>
      </c>
      <c r="F11" s="6">
        <f>INDEX('2kob.'!B3:G28,MATCH(8,B4:B29,0),4)</f>
        <v>60</v>
      </c>
      <c r="G11" s="42">
        <f>INDEX('2kob.'!B3:G28,MATCH(8,B4:B29,0),5)</f>
        <v>1035</v>
      </c>
      <c r="H11" s="6">
        <f>INDEX('2kob.'!B3:G28,MATCH(8,B4:B29,0),6)</f>
        <v>-10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Przemyśl</v>
      </c>
      <c r="D12" s="6">
        <f>INDEX('2kob.'!B3:G28,MATCH(9,B4:B29,0),2)</f>
        <v>1081</v>
      </c>
      <c r="E12" s="42">
        <f>INDEX('2kob.'!B3:G28,MATCH(9,B4:B29,0),3)</f>
        <v>1079</v>
      </c>
      <c r="F12" s="6">
        <f>INDEX('2kob.'!B3:G28,MATCH(9,B4:B29,0),4)</f>
        <v>2</v>
      </c>
      <c r="G12" s="42">
        <f>INDEX('2kob.'!B3:G28,MATCH(9,B4:B29,0),5)</f>
        <v>1178</v>
      </c>
      <c r="H12" s="6">
        <f>INDEX('2kob.'!B3:G28,MATCH(9,B4:B29,0),6)</f>
        <v>-97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1166</v>
      </c>
      <c r="E13" s="42">
        <f>INDEX('2kob.'!B3:G28,MATCH(10,B4:B29,0),3)</f>
        <v>1166</v>
      </c>
      <c r="F13" s="6">
        <f>INDEX('2kob.'!B3:G28,MATCH(10,B4:B29,0),4)</f>
        <v>0</v>
      </c>
      <c r="G13" s="42">
        <f>INDEX('2kob.'!B3:G28,MATCH(10,B4:B29,0),5)</f>
        <v>1260</v>
      </c>
      <c r="H13" s="6">
        <f>INDEX('2kob.'!B3:G28,MATCH(10,B4:B29,0),6)</f>
        <v>-94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1176</v>
      </c>
      <c r="E14" s="42">
        <f>INDEX('2kob.'!B3:G28,MATCH(11,B4:B29,0),3)</f>
        <v>1161</v>
      </c>
      <c r="F14" s="6">
        <f>INDEX('2kob.'!B3:G28,MATCH(11,B4:B29,0),4)</f>
        <v>15</v>
      </c>
      <c r="G14" s="42">
        <f>INDEX('2kob.'!B3:G28,MATCH(11,B4:B29,0),5)</f>
        <v>1147</v>
      </c>
      <c r="H14" s="6">
        <f>INDEX('2kob.'!B3:G28,MATCH(11,B4:B29,0),6)</f>
        <v>29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sanocki</v>
      </c>
      <c r="D15" s="6">
        <f>INDEX('2kob.'!B3:G28,MATCH(12,B4:B29,0),2)</f>
        <v>1344</v>
      </c>
      <c r="E15" s="42">
        <f>INDEX('2kob.'!B3:G28,MATCH(12,B4:B29,0),3)</f>
        <v>1309</v>
      </c>
      <c r="F15" s="6">
        <f>INDEX('2kob.'!B3:G28,MATCH(12,B4:B29,0),4)</f>
        <v>35</v>
      </c>
      <c r="G15" s="42">
        <f>INDEX('2kob.'!B3:G28,MATCH(12,B4:B29,0),5)</f>
        <v>1366</v>
      </c>
      <c r="H15" s="6">
        <f>INDEX('2kob.'!B3:G28,MATCH(12,B4:B29,0),6)</f>
        <v>-22</v>
      </c>
    </row>
    <row r="16" spans="2:8" x14ac:dyDescent="0.2">
      <c r="B16" s="6">
        <f>RANK('2kob.'!C15,'2kob.'!$C$3:'2kob.'!$C$28,1)+COUNTIF('2kob.'!$C$3:'2kob.'!C15,'2kob.'!C15)-1</f>
        <v>16</v>
      </c>
      <c r="C16" s="5" t="str">
        <f>INDEX('2kob.'!B3:G28,MATCH(13,B4:B29,0),1)</f>
        <v>ropczycko-sędziszowski</v>
      </c>
      <c r="D16" s="6">
        <f>INDEX('2kob.'!B3:G28,MATCH(13,B4:B29,0),2)</f>
        <v>1380</v>
      </c>
      <c r="E16" s="42">
        <f>INDEX('2kob.'!B3:G28,MATCH(13,B4:B29,0),3)</f>
        <v>1359</v>
      </c>
      <c r="F16" s="6">
        <f>INDEX('2kob.'!B3:G28,MATCH(13,B4:B29,0),4)</f>
        <v>21</v>
      </c>
      <c r="G16" s="42">
        <f>INDEX('2kob.'!B3:G28,MATCH(13,B4:B29,0),5)</f>
        <v>1402</v>
      </c>
      <c r="H16" s="6">
        <f>INDEX('2kob.'!B3:G28,MATCH(13,B4:B29,0),6)</f>
        <v>-22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1391</v>
      </c>
      <c r="E17" s="42">
        <f>INDEX('2kob.'!B3:G28,MATCH(14,B4:B29,0),3)</f>
        <v>1366</v>
      </c>
      <c r="F17" s="6">
        <f>INDEX('2kob.'!B3:G28,MATCH(14,B4:B29,0),4)</f>
        <v>25</v>
      </c>
      <c r="G17" s="42">
        <f>INDEX('2kob.'!B3:G28,MATCH(14,B4:B29,0),5)</f>
        <v>1450</v>
      </c>
      <c r="H17" s="6">
        <f>INDEX('2kob.'!B3:G28,MATCH(14,B4:B29,0),6)</f>
        <v>-59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dębicki</v>
      </c>
      <c r="D18" s="6">
        <f>INDEX('2kob.'!B3:G28,MATCH(15,B4:B29,0),2)</f>
        <v>1397</v>
      </c>
      <c r="E18" s="42">
        <f>INDEX('2kob.'!B3:G28,MATCH(15,B4:B29,0),3)</f>
        <v>1363</v>
      </c>
      <c r="F18" s="6">
        <f>INDEX('2kob.'!B3:G28,MATCH(15,B4:B29,0),4)</f>
        <v>34</v>
      </c>
      <c r="G18" s="42">
        <f>INDEX('2kob.'!B3:G28,MATCH(15,B4:B29,0),5)</f>
        <v>1461</v>
      </c>
      <c r="H18" s="6">
        <f>INDEX('2kob.'!B3:G28,MATCH(15,B4:B29,0),6)</f>
        <v>-64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niżański</v>
      </c>
      <c r="D19" s="6">
        <f>INDEX('2kob.'!B3:G28,MATCH(16,B4:B29,0),2)</f>
        <v>1460</v>
      </c>
      <c r="E19" s="42">
        <f>INDEX('2kob.'!B3:G28,MATCH(16,B4:B29,0),3)</f>
        <v>1409</v>
      </c>
      <c r="F19" s="6">
        <f>INDEX('2kob.'!B3:G28,MATCH(16,B4:B29,0),4)</f>
        <v>51</v>
      </c>
      <c r="G19" s="42">
        <f>INDEX('2kob.'!B3:G28,MATCH(16,B4:B29,0),5)</f>
        <v>1579</v>
      </c>
      <c r="H19" s="6">
        <f>INDEX('2kob.'!B3:G28,MATCH(16,B4:B29,0),6)</f>
        <v>-119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1471</v>
      </c>
      <c r="E20" s="42">
        <f>INDEX('2kob.'!B3:G28,MATCH(17,B4:B29,0),3)</f>
        <v>1462</v>
      </c>
      <c r="F20" s="6">
        <f>INDEX('2kob.'!B3:G28,MATCH(17,B4:B29,0),4)</f>
        <v>9</v>
      </c>
      <c r="G20" s="42">
        <f>INDEX('2kob.'!B3:G28,MATCH(17,B4:B29,0),5)</f>
        <v>1559</v>
      </c>
      <c r="H20" s="6">
        <f>INDEX('2kob.'!B3:G28,MATCH(17,B4:B29,0),6)</f>
        <v>-88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mielecki</v>
      </c>
      <c r="D21" s="6">
        <f>INDEX('2kob.'!B3:G28,MATCH(18,B4:B29,0),2)</f>
        <v>1483</v>
      </c>
      <c r="E21" s="42">
        <f>INDEX('2kob.'!B3:G28,MATCH(18,B4:B29,0),3)</f>
        <v>1418</v>
      </c>
      <c r="F21" s="6">
        <f>INDEX('2kob.'!B3:G28,MATCH(18,B4:B29,0),4)</f>
        <v>65</v>
      </c>
      <c r="G21" s="42">
        <f>INDEX('2kob.'!B3:G28,MATCH(18,B4:B29,0),5)</f>
        <v>1462</v>
      </c>
      <c r="H21" s="6">
        <f>INDEX('2kob.'!B3:G28,MATCH(18,B4:B29,0),6)</f>
        <v>21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strzyżowski</v>
      </c>
      <c r="D22" s="6">
        <f>INDEX('2kob.'!B3:G28,MATCH(19,B4:B29,0),2)</f>
        <v>1574</v>
      </c>
      <c r="E22" s="42">
        <f>INDEX('2kob.'!B3:G28,MATCH(19,B4:B29,0),3)</f>
        <v>1538</v>
      </c>
      <c r="F22" s="6">
        <f>INDEX('2kob.'!B3:G28,MATCH(19,B4:B29,0),4)</f>
        <v>36</v>
      </c>
      <c r="G22" s="42">
        <f>INDEX('2kob.'!B3:G28,MATCH(19,B4:B29,0),5)</f>
        <v>1596</v>
      </c>
      <c r="H22" s="6">
        <f>INDEX('2kob.'!B3:G28,MATCH(19,B4:B29,0),6)</f>
        <v>-22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1711</v>
      </c>
      <c r="E23" s="42">
        <f>INDEX('2kob.'!B3:G28,MATCH(20,B4:B29,0),3)</f>
        <v>1707</v>
      </c>
      <c r="F23" s="6">
        <f>INDEX('2kob.'!B3:G28,MATCH(20,B4:B29,0),4)</f>
        <v>4</v>
      </c>
      <c r="G23" s="42">
        <f>INDEX('2kob.'!B3:G28,MATCH(20,B4:B29,0),5)</f>
        <v>1791</v>
      </c>
      <c r="H23" s="6">
        <f>INDEX('2kob.'!B3:G28,MATCH(20,B4:B29,0),6)</f>
        <v>-80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1818</v>
      </c>
      <c r="E24" s="42">
        <f>INDEX('2kob.'!B3:G28,MATCH(21,B4:B29,0),3)</f>
        <v>1736</v>
      </c>
      <c r="F24" s="6">
        <f>INDEX('2kob.'!B3:G28,MATCH(21,B4:B29,0),4)</f>
        <v>82</v>
      </c>
      <c r="G24" s="42">
        <f>INDEX('2kob.'!B3:G28,MATCH(21,B4:B29,0),5)</f>
        <v>1942</v>
      </c>
      <c r="H24" s="6">
        <f>INDEX('2kob.'!B3:G28,MATCH(21,B4:B29,0),6)</f>
        <v>-124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2195</v>
      </c>
      <c r="E25" s="42">
        <f>INDEX('2kob.'!B3:G28,MATCH(22,B4:B29,0),3)</f>
        <v>2117</v>
      </c>
      <c r="F25" s="6">
        <f>INDEX('2kob.'!B3:G28,MATCH(22,B4:B29,0),4)</f>
        <v>78</v>
      </c>
      <c r="G25" s="42">
        <f>INDEX('2kob.'!B3:G28,MATCH(22,B4:B29,0),5)</f>
        <v>2329</v>
      </c>
      <c r="H25" s="6">
        <f>INDEX('2kob.'!B3:G28,MATCH(22,B4:B29,0),6)</f>
        <v>-134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2232</v>
      </c>
      <c r="E26" s="42">
        <f>INDEX('2kob.'!B3:G28,MATCH(23,B4:B29,0),3)</f>
        <v>2174</v>
      </c>
      <c r="F26" s="6">
        <f>INDEX('2kob.'!B3:G28,MATCH(23,B4:B29,0),4)</f>
        <v>58</v>
      </c>
      <c r="G26" s="42">
        <f>INDEX('2kob.'!B3:G28,MATCH(23,B4:B29,0),5)</f>
        <v>2245</v>
      </c>
      <c r="H26" s="6">
        <f>INDEX('2kob.'!B3:G28,MATCH(23,B4:B29,0),6)</f>
        <v>-13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2563</v>
      </c>
      <c r="E27" s="42">
        <f>INDEX('2kob.'!B3:G28,MATCH(24,B4:B29,0),3)</f>
        <v>2479</v>
      </c>
      <c r="F27" s="6">
        <f>INDEX('2kob.'!B3:G28,MATCH(24,B4:B29,0),4)</f>
        <v>84</v>
      </c>
      <c r="G27" s="42">
        <f>INDEX('2kob.'!B3:G28,MATCH(24,B4:B29,0),5)</f>
        <v>2752</v>
      </c>
      <c r="H27" s="6">
        <f>INDEX('2kob.'!B3:G28,MATCH(24,B4:B29,0),6)</f>
        <v>-189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2742</v>
      </c>
      <c r="E28" s="42">
        <f>INDEX('2kob.'!B3:G28,MATCH(25,B4:B29,0),3)</f>
        <v>2729</v>
      </c>
      <c r="F28" s="6">
        <f>INDEX('2kob.'!B3:G28,MATCH(25,B4:B29,0),4)</f>
        <v>13</v>
      </c>
      <c r="G28" s="42">
        <f>INDEX('2kob.'!B3:G28,MATCH(25,B4:B29,0),5)</f>
        <v>2718</v>
      </c>
      <c r="H28" s="6">
        <f>INDEX('2kob.'!B3:G28,MATCH(25,B4:B29,0),6)</f>
        <v>24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33398</v>
      </c>
      <c r="E29" s="44">
        <f>INDEX('2kob.'!B3:G28,MATCH(26,B4:B29,0),3)</f>
        <v>32664</v>
      </c>
      <c r="F29" s="40">
        <f>INDEX('2kob.'!B3:G28,MATCH(26,B4:B29,0),4)</f>
        <v>734</v>
      </c>
      <c r="G29" s="44">
        <f>INDEX('2kob.'!B3:G28,MATCH(26,B4:B29,0),5)</f>
        <v>34612</v>
      </c>
      <c r="H29" s="40">
        <f>INDEX('2kob.'!B3:G28,MATCH(26,B4:B29,0),6)</f>
        <v>-1214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T('1bezr.'!C2)</f>
        <v>liczba bezrobotnych ogółem stan na 31-07-'24 r.</v>
      </c>
      <c r="K2" s="37" t="str">
        <f>T(C2)</f>
        <v>liczba bezrobotnych zam. na wsi stan na 31-07-'24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627</v>
      </c>
      <c r="D3" s="42">
        <v>661</v>
      </c>
      <c r="E3" s="6">
        <f t="shared" ref="E3:E23" si="0">SUM(C3)-D3</f>
        <v>-34</v>
      </c>
      <c r="F3" s="42">
        <v>629</v>
      </c>
      <c r="G3" s="6">
        <f t="shared" ref="G3:G23" si="1">SUM(C3)-F3</f>
        <v>-2</v>
      </c>
      <c r="H3" s="7"/>
      <c r="I3" s="5" t="s">
        <v>0</v>
      </c>
      <c r="J3" s="6">
        <f>SUM('1bezr.'!C3)</f>
        <v>1000</v>
      </c>
      <c r="K3" s="6">
        <f>SUM(C3)</f>
        <v>627</v>
      </c>
      <c r="L3" s="8">
        <f t="shared" ref="L3:L23" si="2">SUM(K3)/J3*100</f>
        <v>62.7</v>
      </c>
    </row>
    <row r="4" spans="1:12" x14ac:dyDescent="0.2">
      <c r="A4" s="3">
        <v>2</v>
      </c>
      <c r="B4" s="5" t="s">
        <v>1</v>
      </c>
      <c r="C4" s="14">
        <v>3304</v>
      </c>
      <c r="D4" s="42">
        <v>3151</v>
      </c>
      <c r="E4" s="6">
        <f t="shared" si="0"/>
        <v>153</v>
      </c>
      <c r="F4" s="42">
        <v>3216</v>
      </c>
      <c r="G4" s="6">
        <f t="shared" si="1"/>
        <v>88</v>
      </c>
      <c r="H4" s="7"/>
      <c r="I4" s="5" t="s">
        <v>1</v>
      </c>
      <c r="J4" s="6">
        <f>SUM('1bezr.'!C4)</f>
        <v>3484</v>
      </c>
      <c r="K4" s="6">
        <f t="shared" ref="K4:K22" si="3">SUM(C4)</f>
        <v>3304</v>
      </c>
      <c r="L4" s="8">
        <f t="shared" si="2"/>
        <v>94.833524684270955</v>
      </c>
    </row>
    <row r="5" spans="1:12" x14ac:dyDescent="0.2">
      <c r="A5" s="3">
        <v>3</v>
      </c>
      <c r="B5" s="5" t="s">
        <v>2</v>
      </c>
      <c r="C5" s="15">
        <v>1386</v>
      </c>
      <c r="D5" s="42">
        <v>1333</v>
      </c>
      <c r="E5" s="6">
        <f t="shared" si="0"/>
        <v>53</v>
      </c>
      <c r="F5" s="42">
        <v>1316</v>
      </c>
      <c r="G5" s="6">
        <f t="shared" si="1"/>
        <v>70</v>
      </c>
      <c r="H5" s="7"/>
      <c r="I5" s="5" t="s">
        <v>2</v>
      </c>
      <c r="J5" s="6">
        <f>SUM('1bezr.'!C5)</f>
        <v>2221</v>
      </c>
      <c r="K5" s="6">
        <f t="shared" si="3"/>
        <v>1386</v>
      </c>
      <c r="L5" s="8">
        <f t="shared" si="2"/>
        <v>62.404322377307523</v>
      </c>
    </row>
    <row r="6" spans="1:12" x14ac:dyDescent="0.2">
      <c r="A6" s="3">
        <v>4</v>
      </c>
      <c r="B6" s="5" t="s">
        <v>3</v>
      </c>
      <c r="C6" s="15">
        <v>2601</v>
      </c>
      <c r="D6" s="42">
        <v>2609</v>
      </c>
      <c r="E6" s="6">
        <f t="shared" si="0"/>
        <v>-8</v>
      </c>
      <c r="F6" s="42">
        <v>2641</v>
      </c>
      <c r="G6" s="6">
        <f t="shared" si="1"/>
        <v>-40</v>
      </c>
      <c r="H6" s="7"/>
      <c r="I6" s="5" t="s">
        <v>3</v>
      </c>
      <c r="J6" s="6">
        <f>SUM('1bezr.'!C6)</f>
        <v>4290</v>
      </c>
      <c r="K6" s="6">
        <f t="shared" si="3"/>
        <v>2601</v>
      </c>
      <c r="L6" s="8">
        <f t="shared" si="2"/>
        <v>60.629370629370626</v>
      </c>
    </row>
    <row r="7" spans="1:12" x14ac:dyDescent="0.2">
      <c r="A7" s="3">
        <v>5</v>
      </c>
      <c r="B7" s="5" t="s">
        <v>4</v>
      </c>
      <c r="C7" s="15">
        <v>3321</v>
      </c>
      <c r="D7" s="42">
        <v>3319</v>
      </c>
      <c r="E7" s="6">
        <f t="shared" si="0"/>
        <v>2</v>
      </c>
      <c r="F7" s="42">
        <v>3331</v>
      </c>
      <c r="G7" s="6">
        <f t="shared" si="1"/>
        <v>-10</v>
      </c>
      <c r="H7" s="7"/>
      <c r="I7" s="5" t="s">
        <v>4</v>
      </c>
      <c r="J7" s="6">
        <f>SUM('1bezr.'!C7)</f>
        <v>4706</v>
      </c>
      <c r="K7" s="6">
        <f t="shared" si="3"/>
        <v>3321</v>
      </c>
      <c r="L7" s="8">
        <f t="shared" si="2"/>
        <v>70.569485762855933</v>
      </c>
    </row>
    <row r="8" spans="1:12" x14ac:dyDescent="0.2">
      <c r="A8" s="3">
        <v>6</v>
      </c>
      <c r="B8" s="5" t="s">
        <v>5</v>
      </c>
      <c r="C8" s="15">
        <v>1340</v>
      </c>
      <c r="D8" s="42">
        <v>1316</v>
      </c>
      <c r="E8" s="6">
        <f t="shared" si="0"/>
        <v>24</v>
      </c>
      <c r="F8" s="42">
        <v>1314</v>
      </c>
      <c r="G8" s="6">
        <f t="shared" si="1"/>
        <v>26</v>
      </c>
      <c r="H8" s="7"/>
      <c r="I8" s="5" t="s">
        <v>5</v>
      </c>
      <c r="J8" s="6">
        <f>SUM('1bezr.'!C8)</f>
        <v>1505</v>
      </c>
      <c r="K8" s="6">
        <f t="shared" si="3"/>
        <v>1340</v>
      </c>
      <c r="L8" s="8">
        <f t="shared" si="2"/>
        <v>89.036544850498331</v>
      </c>
    </row>
    <row r="9" spans="1:12" x14ac:dyDescent="0.2">
      <c r="A9" s="3">
        <v>7</v>
      </c>
      <c r="B9" s="9" t="s">
        <v>6</v>
      </c>
      <c r="C9" s="16">
        <v>1890</v>
      </c>
      <c r="D9" s="42">
        <v>1920</v>
      </c>
      <c r="E9" s="6">
        <f t="shared" si="0"/>
        <v>-30</v>
      </c>
      <c r="F9" s="42">
        <v>1947</v>
      </c>
      <c r="G9" s="6">
        <f t="shared" si="1"/>
        <v>-57</v>
      </c>
      <c r="H9" s="7"/>
      <c r="I9" s="9" t="s">
        <v>6</v>
      </c>
      <c r="J9" s="6">
        <f>SUM('1bezr.'!C9)</f>
        <v>2158</v>
      </c>
      <c r="K9" s="6">
        <f t="shared" si="3"/>
        <v>1890</v>
      </c>
      <c r="L9" s="8">
        <f t="shared" si="2"/>
        <v>87.581093605189992</v>
      </c>
    </row>
    <row r="10" spans="1:12" x14ac:dyDescent="0.2">
      <c r="A10" s="3">
        <v>8</v>
      </c>
      <c r="B10" s="5" t="s">
        <v>7</v>
      </c>
      <c r="C10" s="17">
        <v>1228</v>
      </c>
      <c r="D10" s="42">
        <v>1274</v>
      </c>
      <c r="E10" s="6">
        <f t="shared" si="0"/>
        <v>-46</v>
      </c>
      <c r="F10" s="42">
        <v>1232</v>
      </c>
      <c r="G10" s="6">
        <f>SUM(C10)-F10</f>
        <v>-4</v>
      </c>
      <c r="H10" s="7"/>
      <c r="I10" s="5" t="s">
        <v>7</v>
      </c>
      <c r="J10" s="6">
        <f>SUM('1bezr.'!C10)</f>
        <v>1492</v>
      </c>
      <c r="K10" s="6">
        <f>SUM(C10)</f>
        <v>1228</v>
      </c>
      <c r="L10" s="8">
        <f t="shared" si="2"/>
        <v>82.305630026809652</v>
      </c>
    </row>
    <row r="11" spans="1:12" x14ac:dyDescent="0.2">
      <c r="A11" s="3">
        <v>9</v>
      </c>
      <c r="B11" s="5" t="s">
        <v>8</v>
      </c>
      <c r="C11" s="17">
        <v>2229</v>
      </c>
      <c r="D11" s="42">
        <v>2113</v>
      </c>
      <c r="E11" s="6">
        <f t="shared" si="0"/>
        <v>116</v>
      </c>
      <c r="F11" s="42">
        <v>2125</v>
      </c>
      <c r="G11" s="6">
        <f t="shared" si="1"/>
        <v>104</v>
      </c>
      <c r="H11" s="7"/>
      <c r="I11" s="5" t="s">
        <v>8</v>
      </c>
      <c r="J11" s="6">
        <f>SUM('1bezr.'!C11)</f>
        <v>2812</v>
      </c>
      <c r="K11" s="6">
        <f t="shared" si="3"/>
        <v>2229</v>
      </c>
      <c r="L11" s="8">
        <f t="shared" si="2"/>
        <v>79.267425320056901</v>
      </c>
    </row>
    <row r="12" spans="1:12" x14ac:dyDescent="0.2">
      <c r="A12" s="3">
        <v>10</v>
      </c>
      <c r="B12" s="5" t="s">
        <v>9</v>
      </c>
      <c r="C12" s="17">
        <v>1062</v>
      </c>
      <c r="D12" s="42">
        <v>1027</v>
      </c>
      <c r="E12" s="6">
        <f t="shared" si="0"/>
        <v>35</v>
      </c>
      <c r="F12" s="42">
        <v>1042</v>
      </c>
      <c r="G12" s="6">
        <f t="shared" si="1"/>
        <v>20</v>
      </c>
      <c r="H12" s="7"/>
      <c r="I12" s="5" t="s">
        <v>9</v>
      </c>
      <c r="J12" s="6">
        <f>SUM('1bezr.'!C12)</f>
        <v>1594</v>
      </c>
      <c r="K12" s="6">
        <f t="shared" si="3"/>
        <v>1062</v>
      </c>
      <c r="L12" s="8">
        <f t="shared" si="2"/>
        <v>66.624843161856958</v>
      </c>
    </row>
    <row r="13" spans="1:12" x14ac:dyDescent="0.2">
      <c r="A13" s="3">
        <v>11</v>
      </c>
      <c r="B13" s="5" t="s">
        <v>10</v>
      </c>
      <c r="C13" s="17">
        <v>1993</v>
      </c>
      <c r="D13" s="42">
        <v>1857</v>
      </c>
      <c r="E13" s="6">
        <f t="shared" si="0"/>
        <v>136</v>
      </c>
      <c r="F13" s="42">
        <v>1848</v>
      </c>
      <c r="G13" s="6">
        <f t="shared" si="1"/>
        <v>145</v>
      </c>
      <c r="H13" s="7"/>
      <c r="I13" s="5" t="s">
        <v>10</v>
      </c>
      <c r="J13" s="6">
        <f>SUM('1bezr.'!C13)</f>
        <v>2387</v>
      </c>
      <c r="K13" s="6">
        <f t="shared" si="3"/>
        <v>1993</v>
      </c>
      <c r="L13" s="8">
        <f t="shared" si="2"/>
        <v>83.493925429409302</v>
      </c>
    </row>
    <row r="14" spans="1:12" x14ac:dyDescent="0.2">
      <c r="A14" s="3">
        <v>12</v>
      </c>
      <c r="B14" s="5" t="s">
        <v>11</v>
      </c>
      <c r="C14" s="17">
        <v>1403</v>
      </c>
      <c r="D14" s="42">
        <v>1438</v>
      </c>
      <c r="E14" s="6">
        <f t="shared" si="0"/>
        <v>-35</v>
      </c>
      <c r="F14" s="42">
        <v>1499</v>
      </c>
      <c r="G14" s="6">
        <f t="shared" si="1"/>
        <v>-96</v>
      </c>
      <c r="H14" s="7"/>
      <c r="I14" s="5" t="s">
        <v>11</v>
      </c>
      <c r="J14" s="6">
        <f>SUM('1bezr.'!C14)</f>
        <v>2993</v>
      </c>
      <c r="K14" s="6">
        <f t="shared" si="3"/>
        <v>1403</v>
      </c>
      <c r="L14" s="8">
        <f t="shared" si="2"/>
        <v>46.876044102906782</v>
      </c>
    </row>
    <row r="15" spans="1:12" x14ac:dyDescent="0.2">
      <c r="A15" s="3">
        <v>13</v>
      </c>
      <c r="B15" s="5" t="s">
        <v>12</v>
      </c>
      <c r="C15" s="17">
        <v>1978</v>
      </c>
      <c r="D15" s="42">
        <v>1834</v>
      </c>
      <c r="E15" s="6">
        <f t="shared" si="0"/>
        <v>144</v>
      </c>
      <c r="F15" s="42">
        <v>1876</v>
      </c>
      <c r="G15" s="6">
        <f t="shared" si="1"/>
        <v>102</v>
      </c>
      <c r="H15" s="7"/>
      <c r="I15" s="5" t="s">
        <v>12</v>
      </c>
      <c r="J15" s="6">
        <f>SUM('1bezr.'!C15)</f>
        <v>2878</v>
      </c>
      <c r="K15" s="6">
        <f t="shared" si="3"/>
        <v>1978</v>
      </c>
      <c r="L15" s="8">
        <f t="shared" si="2"/>
        <v>68.728283530229334</v>
      </c>
    </row>
    <row r="16" spans="1:12" x14ac:dyDescent="0.2">
      <c r="A16" s="3">
        <v>14</v>
      </c>
      <c r="B16" s="5" t="s">
        <v>13</v>
      </c>
      <c r="C16" s="17">
        <v>2719</v>
      </c>
      <c r="D16" s="42">
        <v>2645</v>
      </c>
      <c r="E16" s="6">
        <f t="shared" si="0"/>
        <v>74</v>
      </c>
      <c r="F16" s="42">
        <v>2701</v>
      </c>
      <c r="G16" s="6">
        <f t="shared" si="1"/>
        <v>18</v>
      </c>
      <c r="H16" s="7"/>
      <c r="I16" s="5" t="s">
        <v>13</v>
      </c>
      <c r="J16" s="6">
        <f>SUM('1bezr.'!C16)</f>
        <v>2771</v>
      </c>
      <c r="K16" s="6">
        <f t="shared" si="3"/>
        <v>2719</v>
      </c>
      <c r="L16" s="8">
        <f t="shared" si="2"/>
        <v>98.123421147600141</v>
      </c>
    </row>
    <row r="17" spans="1:13" x14ac:dyDescent="0.2">
      <c r="A17" s="3">
        <v>15</v>
      </c>
      <c r="B17" s="5" t="s">
        <v>14</v>
      </c>
      <c r="C17" s="17">
        <v>2491</v>
      </c>
      <c r="D17" s="42">
        <v>2353</v>
      </c>
      <c r="E17" s="6">
        <f t="shared" si="0"/>
        <v>138</v>
      </c>
      <c r="F17" s="42">
        <v>2367</v>
      </c>
      <c r="G17" s="6">
        <f t="shared" si="1"/>
        <v>124</v>
      </c>
      <c r="H17" s="7"/>
      <c r="I17" s="5" t="s">
        <v>14</v>
      </c>
      <c r="J17" s="6">
        <f>SUM('1bezr.'!C17)</f>
        <v>3169</v>
      </c>
      <c r="K17" s="6">
        <f t="shared" si="3"/>
        <v>2491</v>
      </c>
      <c r="L17" s="8">
        <f t="shared" si="2"/>
        <v>78.605238245503315</v>
      </c>
      <c r="M17" s="10"/>
    </row>
    <row r="18" spans="1:13" x14ac:dyDescent="0.2">
      <c r="A18" s="3">
        <v>16</v>
      </c>
      <c r="B18" s="5" t="s">
        <v>15</v>
      </c>
      <c r="C18" s="17">
        <v>1665</v>
      </c>
      <c r="D18" s="42">
        <v>1674</v>
      </c>
      <c r="E18" s="6">
        <f t="shared" si="0"/>
        <v>-9</v>
      </c>
      <c r="F18" s="42">
        <v>1676</v>
      </c>
      <c r="G18" s="6">
        <f t="shared" si="1"/>
        <v>-11</v>
      </c>
      <c r="H18" s="7"/>
      <c r="I18" s="5" t="s">
        <v>15</v>
      </c>
      <c r="J18" s="6">
        <f>SUM('1bezr.'!C18)</f>
        <v>2570</v>
      </c>
      <c r="K18" s="6">
        <f t="shared" si="3"/>
        <v>1665</v>
      </c>
      <c r="L18" s="8">
        <f t="shared" si="2"/>
        <v>64.785992217898837</v>
      </c>
    </row>
    <row r="19" spans="1:13" x14ac:dyDescent="0.2">
      <c r="A19" s="3">
        <v>17</v>
      </c>
      <c r="B19" s="5" t="s">
        <v>16</v>
      </c>
      <c r="C19" s="17">
        <v>3639</v>
      </c>
      <c r="D19" s="42">
        <v>3510</v>
      </c>
      <c r="E19" s="6">
        <f t="shared" si="0"/>
        <v>129</v>
      </c>
      <c r="F19" s="42">
        <v>3537</v>
      </c>
      <c r="G19" s="6">
        <f t="shared" si="1"/>
        <v>102</v>
      </c>
      <c r="H19" s="7"/>
      <c r="I19" s="5" t="s">
        <v>16</v>
      </c>
      <c r="J19" s="6">
        <f>SUM('1bezr.'!C19)</f>
        <v>4458</v>
      </c>
      <c r="K19" s="6">
        <f t="shared" si="3"/>
        <v>3639</v>
      </c>
      <c r="L19" s="8">
        <f t="shared" si="2"/>
        <v>81.628532974427998</v>
      </c>
    </row>
    <row r="20" spans="1:13" x14ac:dyDescent="0.2">
      <c r="A20" s="3">
        <v>18</v>
      </c>
      <c r="B20" s="5" t="s">
        <v>17</v>
      </c>
      <c r="C20" s="17">
        <v>1524</v>
      </c>
      <c r="D20" s="42">
        <v>1571</v>
      </c>
      <c r="E20" s="6">
        <f t="shared" si="0"/>
        <v>-47</v>
      </c>
      <c r="F20" s="42">
        <v>1623</v>
      </c>
      <c r="G20" s="6">
        <f t="shared" si="1"/>
        <v>-99</v>
      </c>
      <c r="H20" s="7"/>
      <c r="I20" s="5" t="s">
        <v>17</v>
      </c>
      <c r="J20" s="6">
        <f>SUM('1bezr.'!C20)</f>
        <v>2721</v>
      </c>
      <c r="K20" s="6">
        <f t="shared" si="3"/>
        <v>1524</v>
      </c>
      <c r="L20" s="8">
        <f t="shared" si="2"/>
        <v>56.008820286659308</v>
      </c>
    </row>
    <row r="21" spans="1:13" x14ac:dyDescent="0.2">
      <c r="A21" s="3">
        <v>19</v>
      </c>
      <c r="B21" s="5" t="s">
        <v>18</v>
      </c>
      <c r="C21" s="17">
        <v>746</v>
      </c>
      <c r="D21" s="42">
        <v>723</v>
      </c>
      <c r="E21" s="6">
        <f t="shared" si="0"/>
        <v>23</v>
      </c>
      <c r="F21" s="42">
        <v>787</v>
      </c>
      <c r="G21" s="6">
        <f t="shared" si="1"/>
        <v>-41</v>
      </c>
      <c r="H21" s="7"/>
      <c r="I21" s="5" t="s">
        <v>18</v>
      </c>
      <c r="J21" s="6">
        <f>SUM('1bezr.'!C21)</f>
        <v>1960</v>
      </c>
      <c r="K21" s="6">
        <f t="shared" si="3"/>
        <v>746</v>
      </c>
      <c r="L21" s="8">
        <f t="shared" si="2"/>
        <v>38.061224489795919</v>
      </c>
    </row>
    <row r="22" spans="1:13" x14ac:dyDescent="0.2">
      <c r="A22" s="3">
        <v>20</v>
      </c>
      <c r="B22" s="5" t="s">
        <v>19</v>
      </c>
      <c r="C22" s="17">
        <v>2708</v>
      </c>
      <c r="D22" s="42">
        <v>2702</v>
      </c>
      <c r="E22" s="6">
        <f t="shared" si="0"/>
        <v>6</v>
      </c>
      <c r="F22" s="42">
        <v>2725</v>
      </c>
      <c r="G22" s="6">
        <f t="shared" si="1"/>
        <v>-17</v>
      </c>
      <c r="H22" s="7"/>
      <c r="I22" s="5" t="s">
        <v>19</v>
      </c>
      <c r="J22" s="6">
        <f>SUM('1bezr.'!C22)</f>
        <v>3042</v>
      </c>
      <c r="K22" s="6">
        <f t="shared" si="3"/>
        <v>2708</v>
      </c>
      <c r="L22" s="8">
        <f t="shared" si="2"/>
        <v>89.02038132807364</v>
      </c>
    </row>
    <row r="23" spans="1:13" x14ac:dyDescent="0.2">
      <c r="A23" s="3">
        <v>21</v>
      </c>
      <c r="B23" s="5" t="s">
        <v>20</v>
      </c>
      <c r="C23" s="17">
        <v>993</v>
      </c>
      <c r="D23" s="42">
        <v>982</v>
      </c>
      <c r="E23" s="6">
        <f t="shared" si="0"/>
        <v>11</v>
      </c>
      <c r="F23" s="42">
        <v>1031</v>
      </c>
      <c r="G23" s="6">
        <f t="shared" si="1"/>
        <v>-38</v>
      </c>
      <c r="H23" s="7"/>
      <c r="I23" s="5" t="s">
        <v>20</v>
      </c>
      <c r="J23" s="6">
        <f>SUM('1bezr.'!C23)</f>
        <v>1252</v>
      </c>
      <c r="K23" s="6">
        <f>SUM(C23)</f>
        <v>993</v>
      </c>
      <c r="L23" s="8">
        <f t="shared" si="2"/>
        <v>79.313099041533548</v>
      </c>
    </row>
    <row r="24" spans="1:13" ht="15" x14ac:dyDescent="0.25">
      <c r="A24" s="3">
        <v>22</v>
      </c>
      <c r="B24" s="39" t="s">
        <v>25</v>
      </c>
      <c r="C24" s="40">
        <f>SUM(C3:C23)</f>
        <v>40847</v>
      </c>
      <c r="D24" s="44">
        <f>SUM(D3:D23)</f>
        <v>40012</v>
      </c>
      <c r="E24" s="40">
        <f>SUM(E3:E23)</f>
        <v>835</v>
      </c>
      <c r="F24" s="44">
        <f>SUM(F3:F23)</f>
        <v>40463</v>
      </c>
      <c r="G24" s="40">
        <f>SUM(G3:G23)</f>
        <v>384</v>
      </c>
      <c r="H24" s="7"/>
      <c r="I24" s="5" t="s">
        <v>21</v>
      </c>
      <c r="J24" s="6">
        <f>SUM('1bezr.'!C24)</f>
        <v>784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2249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5032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1058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64586</v>
      </c>
      <c r="K28" s="40">
        <f>SUM(K3:K23)</f>
        <v>40847</v>
      </c>
      <c r="L28" s="46">
        <f>SUM(K28)/J28*100</f>
        <v>63.244356362059882</v>
      </c>
    </row>
    <row r="30" spans="1:13" x14ac:dyDescent="0.2">
      <c r="K30" s="19">
        <f>SUM(K28-J28)</f>
        <v>-23739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31-07-'24 r.</v>
      </c>
      <c r="E3" s="36" t="str">
        <f>T('3bezr. na wsi'!D2)</f>
        <v>liczba bezrobotnych zam. na wsi stan na 30-06-'24 r.</v>
      </c>
      <c r="F3" s="36" t="str">
        <f>T('3bezr. na wsi'!E2)</f>
        <v>wzrost/spadek do poprzedniego  miesiąca</v>
      </c>
      <c r="G3" s="36" t="str">
        <f>T('3bezr. na wsi'!F2)</f>
        <v>liczba bezrobotnych zam. na wsi stan na 31-07-'23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627</v>
      </c>
      <c r="E4" s="42">
        <f>INDEX('3bezr. na wsi'!B3:G28,MATCH(1,B4:B25,0),3)</f>
        <v>661</v>
      </c>
      <c r="F4" s="6">
        <f>INDEX('3bezr. na wsi'!B3:G28,MATCH(1,B4:B25,0),4)</f>
        <v>-34</v>
      </c>
      <c r="G4" s="42">
        <f>INDEX('3bezr. na wsi'!B3:G28,MATCH(1,B4:B25,0),5)</f>
        <v>629</v>
      </c>
      <c r="H4" s="6">
        <f>INDEX('3bezr. na wsi'!B3:G28,MATCH(1,B4:B25,0),6)</f>
        <v>-2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746</v>
      </c>
      <c r="E5" s="42">
        <f>INDEX('3bezr. na wsi'!B3:G28,MATCH(2,B4:B25,0),3)</f>
        <v>723</v>
      </c>
      <c r="F5" s="6">
        <f>INDEX('3bezr. na wsi'!B3:G28,MATCH(2,B4:B25,0),4)</f>
        <v>23</v>
      </c>
      <c r="G5" s="42">
        <f>INDEX('3bezr. na wsi'!B3:G28,MATCH(2,B4:B25,0),5)</f>
        <v>787</v>
      </c>
      <c r="H5" s="6">
        <f>INDEX('3bezr. na wsi'!B3:G28,MATCH(2,B4:B25,0),6)</f>
        <v>-41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993</v>
      </c>
      <c r="E6" s="42">
        <f>INDEX('3bezr. na wsi'!B3:G28,MATCH(3,B4:B25,0),3)</f>
        <v>982</v>
      </c>
      <c r="F6" s="6">
        <f>INDEX('3bezr. na wsi'!B3:G28,MATCH(3,B4:B25,0),4)</f>
        <v>11</v>
      </c>
      <c r="G6" s="42">
        <f>INDEX('3bezr. na wsi'!B3:G28,MATCH(3,B4:B25,0),5)</f>
        <v>1031</v>
      </c>
      <c r="H6" s="6">
        <f>INDEX('3bezr. na wsi'!B3:G28,MATCH(3,B4:B25,0),6)</f>
        <v>-38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16</v>
      </c>
      <c r="C7" s="5" t="str">
        <f>INDEX('3bezr. na wsi'!B3:G28,MATCH(4,B4:B25,0),1)</f>
        <v>lubaczowski</v>
      </c>
      <c r="D7" s="6">
        <f>INDEX('3bezr. na wsi'!B3:G28,MATCH(4,B4:B25,0),2)</f>
        <v>1062</v>
      </c>
      <c r="E7" s="42">
        <f>INDEX('3bezr. na wsi'!B3:G28,MATCH(4,B4:B25,0),3)</f>
        <v>1027</v>
      </c>
      <c r="F7" s="6">
        <f>INDEX('3bezr. na wsi'!B3:G28,MATCH(4,B4:B25,0),4)</f>
        <v>35</v>
      </c>
      <c r="G7" s="42">
        <f>INDEX('3bezr. na wsi'!B3:G28,MATCH(4,B4:B25,0),5)</f>
        <v>1042</v>
      </c>
      <c r="H7" s="6">
        <f>INDEX('3bezr. na wsi'!B3:G28,MATCH(4,B4:B25,0),6)</f>
        <v>20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1228</v>
      </c>
      <c r="E8" s="42">
        <f>INDEX('3bezr. na wsi'!B3:G28,MATCH(5,B4:B25,0),3)</f>
        <v>1274</v>
      </c>
      <c r="F8" s="6">
        <f>INDEX('3bezr. na wsi'!B3:G28,MATCH(5,B4:B25,0),4)</f>
        <v>-46</v>
      </c>
      <c r="G8" s="42">
        <f>INDEX('3bezr. na wsi'!B3:G28,MATCH(5,B4:B25,0),5)</f>
        <v>1232</v>
      </c>
      <c r="H8" s="6">
        <f>INDEX('3bezr. na wsi'!B3:G28,MATCH(5,B4:B25,0),6)</f>
        <v>-4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1340</v>
      </c>
      <c r="E9" s="42">
        <f>INDEX('3bezr. na wsi'!B3:G28,MATCH(6,B4:B25,0),3)</f>
        <v>1316</v>
      </c>
      <c r="F9" s="6">
        <f>INDEX('3bezr. na wsi'!B3:G28,MATCH(6,B4:B25,0),4)</f>
        <v>24</v>
      </c>
      <c r="G9" s="42">
        <f>INDEX('3bezr. na wsi'!B3:G28,MATCH(6,B4:B25,0),5)</f>
        <v>1314</v>
      </c>
      <c r="H9" s="6">
        <f>INDEX('3bezr. na wsi'!B3:G28,MATCH(6,B4:B25,0),6)</f>
        <v>26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11</v>
      </c>
      <c r="C10" s="9" t="str">
        <f>INDEX('3bezr. na wsi'!B3:G28,MATCH(7,B4:B25,0),1)</f>
        <v>dębicki</v>
      </c>
      <c r="D10" s="6">
        <f>INDEX('3bezr. na wsi'!B3:G28,MATCH(7,B4:B25,0),2)</f>
        <v>1386</v>
      </c>
      <c r="E10" s="42">
        <f>INDEX('3bezr. na wsi'!B3:G28,MATCH(7,B4:B25,0),3)</f>
        <v>1333</v>
      </c>
      <c r="F10" s="6">
        <f>INDEX('3bezr. na wsi'!B3:G28,MATCH(7,B4:B25,0),4)</f>
        <v>53</v>
      </c>
      <c r="G10" s="42">
        <f>INDEX('3bezr. na wsi'!B3:G28,MATCH(7,B4:B25,0),5)</f>
        <v>1316</v>
      </c>
      <c r="H10" s="6">
        <f>INDEX('3bezr. na wsi'!B3:G28,MATCH(7,B4:B25,0),6)</f>
        <v>70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1403</v>
      </c>
      <c r="E11" s="42">
        <f>INDEX('3bezr. na wsi'!B3:G28,MATCH(8,B4:B25,0),3)</f>
        <v>1438</v>
      </c>
      <c r="F11" s="6">
        <f>INDEX('3bezr. na wsi'!B3:G28,MATCH(8,B4:B25,0),4)</f>
        <v>-35</v>
      </c>
      <c r="G11" s="42">
        <f>INDEX('3bezr. na wsi'!B3:G28,MATCH(8,B4:B25,0),5)</f>
        <v>1499</v>
      </c>
      <c r="H11" s="6">
        <f>INDEX('3bezr. na wsi'!B3:G28,MATCH(8,B4:B25,0),6)</f>
        <v>-96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1524</v>
      </c>
      <c r="E12" s="42">
        <f>INDEX('3bezr. na wsi'!B3:G28,MATCH(9,B4:B25,0),3)</f>
        <v>1571</v>
      </c>
      <c r="F12" s="6">
        <f>INDEX('3bezr. na wsi'!B3:G28,MATCH(9,B4:B25,0),4)</f>
        <v>-47</v>
      </c>
      <c r="G12" s="42">
        <f>INDEX('3bezr. na wsi'!B3:G28,MATCH(9,B4:B25,0),5)</f>
        <v>1623</v>
      </c>
      <c r="H12" s="6">
        <f>INDEX('3bezr. na wsi'!B3:G28,MATCH(9,B4:B25,0),6)</f>
        <v>-99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1665</v>
      </c>
      <c r="E13" s="42">
        <f>INDEX('3bezr. na wsi'!B3:G28,MATCH(10,B4:B25,0),3)</f>
        <v>1674</v>
      </c>
      <c r="F13" s="6">
        <f>INDEX('3bezr. na wsi'!B3:G28,MATCH(10,B4:B25,0),4)</f>
        <v>-9</v>
      </c>
      <c r="G13" s="42">
        <f>INDEX('3bezr. na wsi'!B3:G28,MATCH(10,B4:B25,0),5)</f>
        <v>1676</v>
      </c>
      <c r="H13" s="6">
        <f>INDEX('3bezr. na wsi'!B3:G28,MATCH(10,B4:B25,0),6)</f>
        <v>-11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13</v>
      </c>
      <c r="C14" s="5" t="str">
        <f>INDEX('3bezr. na wsi'!B3:G28,MATCH(11,B4:B25,0),1)</f>
        <v>krośnieński</v>
      </c>
      <c r="D14" s="6">
        <f>INDEX('3bezr. na wsi'!B3:G28,MATCH(11,B4:B25,0),2)</f>
        <v>1890</v>
      </c>
      <c r="E14" s="42">
        <f>INDEX('3bezr. na wsi'!B3:G28,MATCH(11,B4:B25,0),3)</f>
        <v>1920</v>
      </c>
      <c r="F14" s="6">
        <f>INDEX('3bezr. na wsi'!B3:G28,MATCH(11,B4:B25,0),4)</f>
        <v>-30</v>
      </c>
      <c r="G14" s="42">
        <f>INDEX('3bezr. na wsi'!B3:G28,MATCH(11,B4:B25,0),5)</f>
        <v>1947</v>
      </c>
      <c r="H14" s="6">
        <f>INDEX('3bezr. na wsi'!B3:G28,MATCH(11,B4:B25,0),6)</f>
        <v>-57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niżański</v>
      </c>
      <c r="D15" s="6">
        <f>INDEX('3bezr. na wsi'!B3:G28,MATCH(12,B4:B25,0),2)</f>
        <v>1978</v>
      </c>
      <c r="E15" s="42">
        <f>INDEX('3bezr. na wsi'!B3:G28,MATCH(12,B4:B25,0),3)</f>
        <v>1834</v>
      </c>
      <c r="F15" s="6">
        <f>INDEX('3bezr. na wsi'!B3:G28,MATCH(12,B4:B25,0),4)</f>
        <v>144</v>
      </c>
      <c r="G15" s="42">
        <f>INDEX('3bezr. na wsi'!B3:G28,MATCH(12,B4:B25,0),5)</f>
        <v>1876</v>
      </c>
      <c r="H15" s="6">
        <f>INDEX('3bezr. na wsi'!B3:G28,MATCH(12,B4:B25,0),6)</f>
        <v>102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łańcucki</v>
      </c>
      <c r="D16" s="6">
        <f>INDEX('3bezr. na wsi'!B3:G28,MATCH(13,B4:B25,0),2)</f>
        <v>1993</v>
      </c>
      <c r="E16" s="42">
        <f>INDEX('3bezr. na wsi'!B3:G28,MATCH(13,B4:B25,0),3)</f>
        <v>1857</v>
      </c>
      <c r="F16" s="6">
        <f>INDEX('3bezr. na wsi'!B3:G28,MATCH(13,B4:B25,0),4)</f>
        <v>136</v>
      </c>
      <c r="G16" s="42">
        <f>INDEX('3bezr. na wsi'!B3:G28,MATCH(13,B4:B25,0),5)</f>
        <v>1848</v>
      </c>
      <c r="H16" s="6">
        <f>INDEX('3bezr. na wsi'!B3:G28,MATCH(13,B4:B25,0),6)</f>
        <v>145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2229</v>
      </c>
      <c r="E17" s="42">
        <f>INDEX('3bezr. na wsi'!B3:G28,MATCH(14,B4:B25,0),3)</f>
        <v>2113</v>
      </c>
      <c r="F17" s="6">
        <f>INDEX('3bezr. na wsi'!B3:G28,MATCH(14,B4:B25,0),4)</f>
        <v>116</v>
      </c>
      <c r="G17" s="42">
        <f>INDEX('3bezr. na wsi'!B3:G28,MATCH(14,B4:B25,0),5)</f>
        <v>2125</v>
      </c>
      <c r="H17" s="6">
        <f>INDEX('3bezr. na wsi'!B3:G28,MATCH(14,B4:B25,0),6)</f>
        <v>104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2491</v>
      </c>
      <c r="E18" s="42">
        <f>INDEX('3bezr. na wsi'!B3:G28,MATCH(15,B4:B25,0),3)</f>
        <v>2353</v>
      </c>
      <c r="F18" s="6">
        <f>INDEX('3bezr. na wsi'!B3:G28,MATCH(15,B4:B25,0),4)</f>
        <v>138</v>
      </c>
      <c r="G18" s="42">
        <f>INDEX('3bezr. na wsi'!B3:G28,MATCH(15,B4:B25,0),5)</f>
        <v>2367</v>
      </c>
      <c r="H18" s="6">
        <f>INDEX('3bezr. na wsi'!B3:G28,MATCH(15,B4:B25,0),6)</f>
        <v>124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jarosławski</v>
      </c>
      <c r="D19" s="6">
        <f>INDEX('3bezr. na wsi'!B3:G28,MATCH(16,B4:B25,0),2)</f>
        <v>2601</v>
      </c>
      <c r="E19" s="42">
        <f>INDEX('3bezr. na wsi'!B3:G28,MATCH(16,B4:B25,0),3)</f>
        <v>2609</v>
      </c>
      <c r="F19" s="6">
        <f>INDEX('3bezr. na wsi'!B3:G28,MATCH(16,B4:B25,0),4)</f>
        <v>-8</v>
      </c>
      <c r="G19" s="42">
        <f>INDEX('3bezr. na wsi'!B3:G28,MATCH(16,B4:B25,0),5)</f>
        <v>2641</v>
      </c>
      <c r="H19" s="6">
        <f>INDEX('3bezr. na wsi'!B3:G28,MATCH(16,B4:B25,0),6)</f>
        <v>-40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strzyżowski</v>
      </c>
      <c r="D20" s="6">
        <f>INDEX('3bezr. na wsi'!B3:G28,MATCH(17,B4:B25,0),2)</f>
        <v>2708</v>
      </c>
      <c r="E20" s="42">
        <f>INDEX('3bezr. na wsi'!B3:G28,MATCH(17,B4:B25,0),3)</f>
        <v>2702</v>
      </c>
      <c r="F20" s="6">
        <f>INDEX('3bezr. na wsi'!B3:G28,MATCH(17,B4:B25,0),4)</f>
        <v>6</v>
      </c>
      <c r="G20" s="42">
        <f>INDEX('3bezr. na wsi'!B3:G28,MATCH(17,B4:B25,0),5)</f>
        <v>2725</v>
      </c>
      <c r="H20" s="6">
        <f>INDEX('3bezr. na wsi'!B3:G28,MATCH(17,B4:B25,0),6)</f>
        <v>-17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2719</v>
      </c>
      <c r="E21" s="42">
        <f>INDEX('3bezr. na wsi'!B3:G28,MATCH(18,B4:B25,0),3)</f>
        <v>2645</v>
      </c>
      <c r="F21" s="6">
        <f>INDEX('3bezr. na wsi'!B3:G28,MATCH(18,B4:B25,0),4)</f>
        <v>74</v>
      </c>
      <c r="G21" s="42">
        <f>INDEX('3bezr. na wsi'!B3:G28,MATCH(18,B4:B25,0),5)</f>
        <v>2701</v>
      </c>
      <c r="H21" s="6">
        <f>INDEX('3bezr. na wsi'!B3:G28,MATCH(18,B4:B25,0),6)</f>
        <v>18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3304</v>
      </c>
      <c r="E22" s="42">
        <f>INDEX('3bezr. na wsi'!B3:G28,MATCH(19,B4:B25,0),3)</f>
        <v>3151</v>
      </c>
      <c r="F22" s="6">
        <f>INDEX('3bezr. na wsi'!B3:G28,MATCH(19,B4:B25,0),4)</f>
        <v>153</v>
      </c>
      <c r="G22" s="42">
        <f>INDEX('3bezr. na wsi'!B3:G28,MATCH(19,B4:B25,0),5)</f>
        <v>3216</v>
      </c>
      <c r="H22" s="6">
        <f>INDEX('3bezr. na wsi'!B3:G28,MATCH(19,B4:B25,0),6)</f>
        <v>88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17</v>
      </c>
      <c r="C23" s="5" t="str">
        <f>INDEX('3bezr. na wsi'!B3:G28,MATCH(20,B4:B25,0),1)</f>
        <v>jasielski</v>
      </c>
      <c r="D23" s="6">
        <f>INDEX('3bezr. na wsi'!B3:G28,MATCH(20,B4:B25,0),2)</f>
        <v>3321</v>
      </c>
      <c r="E23" s="42">
        <f>INDEX('3bezr. na wsi'!B3:G28,MATCH(20,B4:B25,0),3)</f>
        <v>3319</v>
      </c>
      <c r="F23" s="6">
        <f>INDEX('3bezr. na wsi'!B3:G28,MATCH(20,B4:B25,0),4)</f>
        <v>2</v>
      </c>
      <c r="G23" s="42">
        <f>INDEX('3bezr. na wsi'!B3:G28,MATCH(20,B4:B25,0),5)</f>
        <v>3331</v>
      </c>
      <c r="H23" s="6">
        <f>INDEX('3bezr. na wsi'!B3:G28,MATCH(20,B4:B25,0),6)</f>
        <v>-10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3639</v>
      </c>
      <c r="E24" s="42">
        <f>INDEX('3bezr. na wsi'!B3:G28,MATCH(21,B4:B25,0),3)</f>
        <v>3510</v>
      </c>
      <c r="F24" s="6">
        <f>INDEX('3bezr. na wsi'!B3:G28,MATCH(21,B4:B25,0),4)</f>
        <v>129</v>
      </c>
      <c r="G24" s="42">
        <f>INDEX('3bezr. na wsi'!B3:G28,MATCH(21,B4:B25,0),5)</f>
        <v>3537</v>
      </c>
      <c r="H24" s="6">
        <f>INDEX('3bezr. na wsi'!B3:G28,MATCH(21,B4:B25,0),6)</f>
        <v>102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40847</v>
      </c>
      <c r="E25" s="44">
        <f>INDEX('3bezr. na wsi'!B3:G28,MATCH(22,B4:B25,0),3)</f>
        <v>40012</v>
      </c>
      <c r="F25" s="40">
        <f>INDEX('3bezr. na wsi'!B3:G28,MATCH(22,B4:B25,0),4)</f>
        <v>835</v>
      </c>
      <c r="G25" s="44">
        <f>INDEX('3bezr. na wsi'!B3:G28,MATCH(22,B4:B25,0),5)</f>
        <v>40463</v>
      </c>
      <c r="H25" s="40">
        <f>INDEX('3bezr. na wsi'!B3:G28,MATCH(22,B4:B25,0),6)</f>
        <v>384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84</v>
      </c>
      <c r="E2" s="37" t="s">
        <v>28</v>
      </c>
      <c r="F2" s="38" t="s">
        <v>85</v>
      </c>
      <c r="G2" s="37" t="s">
        <v>26</v>
      </c>
    </row>
    <row r="3" spans="2:8" x14ac:dyDescent="0.2">
      <c r="B3" s="5" t="s">
        <v>0</v>
      </c>
      <c r="C3" s="6">
        <v>609</v>
      </c>
      <c r="D3" s="42">
        <v>617</v>
      </c>
      <c r="E3" s="6">
        <f t="shared" ref="E3:E26" si="0">SUM(C3)-D3</f>
        <v>-8</v>
      </c>
      <c r="F3" s="42">
        <v>603</v>
      </c>
      <c r="G3" s="6">
        <f t="shared" ref="G3:G27" si="1">SUM(C3)-F3</f>
        <v>6</v>
      </c>
      <c r="H3" s="7"/>
    </row>
    <row r="4" spans="2:8" x14ac:dyDescent="0.2">
      <c r="B4" s="5" t="s">
        <v>1</v>
      </c>
      <c r="C4" s="6">
        <v>2328</v>
      </c>
      <c r="D4" s="42">
        <v>2314</v>
      </c>
      <c r="E4" s="6">
        <f t="shared" si="0"/>
        <v>14</v>
      </c>
      <c r="F4" s="42">
        <v>2377</v>
      </c>
      <c r="G4" s="6">
        <f t="shared" si="1"/>
        <v>-49</v>
      </c>
      <c r="H4" s="7"/>
    </row>
    <row r="5" spans="2:8" x14ac:dyDescent="0.2">
      <c r="B5" s="5" t="s">
        <v>2</v>
      </c>
      <c r="C5" s="6">
        <v>957</v>
      </c>
      <c r="D5" s="42">
        <v>954</v>
      </c>
      <c r="E5" s="6">
        <f t="shared" si="0"/>
        <v>3</v>
      </c>
      <c r="F5" s="42">
        <v>982</v>
      </c>
      <c r="G5" s="6">
        <f t="shared" si="1"/>
        <v>-25</v>
      </c>
      <c r="H5" s="7"/>
    </row>
    <row r="6" spans="2:8" x14ac:dyDescent="0.2">
      <c r="B6" s="5" t="s">
        <v>3</v>
      </c>
      <c r="C6" s="6">
        <v>2420</v>
      </c>
      <c r="D6" s="42">
        <v>2442</v>
      </c>
      <c r="E6" s="6">
        <f t="shared" si="0"/>
        <v>-22</v>
      </c>
      <c r="F6" s="42">
        <v>2508</v>
      </c>
      <c r="G6" s="6">
        <f t="shared" si="1"/>
        <v>-88</v>
      </c>
      <c r="H6" s="7"/>
    </row>
    <row r="7" spans="2:8" x14ac:dyDescent="0.2">
      <c r="B7" s="5" t="s">
        <v>4</v>
      </c>
      <c r="C7" s="6">
        <v>2889</v>
      </c>
      <c r="D7" s="42">
        <v>2922</v>
      </c>
      <c r="E7" s="6">
        <f t="shared" si="0"/>
        <v>-33</v>
      </c>
      <c r="F7" s="42">
        <v>2939</v>
      </c>
      <c r="G7" s="6">
        <f t="shared" si="1"/>
        <v>-50</v>
      </c>
      <c r="H7" s="7"/>
    </row>
    <row r="8" spans="2:8" x14ac:dyDescent="0.2">
      <c r="B8" s="5" t="s">
        <v>5</v>
      </c>
      <c r="C8" s="6">
        <v>714</v>
      </c>
      <c r="D8" s="42">
        <v>713</v>
      </c>
      <c r="E8" s="6">
        <f t="shared" si="0"/>
        <v>1</v>
      </c>
      <c r="F8" s="42">
        <v>749</v>
      </c>
      <c r="G8" s="6">
        <f t="shared" si="1"/>
        <v>-35</v>
      </c>
      <c r="H8" s="7"/>
    </row>
    <row r="9" spans="2:8" x14ac:dyDescent="0.2">
      <c r="B9" s="9" t="s">
        <v>6</v>
      </c>
      <c r="C9" s="6">
        <v>972</v>
      </c>
      <c r="D9" s="42">
        <v>973</v>
      </c>
      <c r="E9" s="6">
        <f t="shared" si="0"/>
        <v>-1</v>
      </c>
      <c r="F9" s="42">
        <v>912</v>
      </c>
      <c r="G9" s="6">
        <f t="shared" si="1"/>
        <v>60</v>
      </c>
      <c r="H9" s="7"/>
    </row>
    <row r="10" spans="2:8" x14ac:dyDescent="0.2">
      <c r="B10" s="5" t="s">
        <v>7</v>
      </c>
      <c r="C10" s="6">
        <v>1013</v>
      </c>
      <c r="D10" s="42">
        <v>1027</v>
      </c>
      <c r="E10" s="6">
        <f t="shared" si="0"/>
        <v>-14</v>
      </c>
      <c r="F10" s="42">
        <v>1017</v>
      </c>
      <c r="G10" s="6">
        <f t="shared" si="1"/>
        <v>-4</v>
      </c>
      <c r="H10" s="7"/>
    </row>
    <row r="11" spans="2:8" x14ac:dyDescent="0.2">
      <c r="B11" s="5" t="s">
        <v>8</v>
      </c>
      <c r="C11" s="6">
        <v>1628</v>
      </c>
      <c r="D11" s="42">
        <v>1641</v>
      </c>
      <c r="E11" s="6">
        <f t="shared" si="0"/>
        <v>-13</v>
      </c>
      <c r="F11" s="42">
        <v>1748</v>
      </c>
      <c r="G11" s="6">
        <f t="shared" si="1"/>
        <v>-120</v>
      </c>
      <c r="H11" s="7"/>
    </row>
    <row r="12" spans="2:8" x14ac:dyDescent="0.2">
      <c r="B12" s="5" t="s">
        <v>9</v>
      </c>
      <c r="C12" s="6">
        <v>828</v>
      </c>
      <c r="D12" s="42">
        <v>823</v>
      </c>
      <c r="E12" s="6">
        <f t="shared" si="0"/>
        <v>5</v>
      </c>
      <c r="F12" s="42">
        <v>874</v>
      </c>
      <c r="G12" s="6">
        <f t="shared" si="1"/>
        <v>-46</v>
      </c>
      <c r="H12" s="7"/>
    </row>
    <row r="13" spans="2:8" x14ac:dyDescent="0.2">
      <c r="B13" s="5" t="s">
        <v>10</v>
      </c>
      <c r="C13" s="6">
        <v>1204</v>
      </c>
      <c r="D13" s="42">
        <v>1194</v>
      </c>
      <c r="E13" s="6">
        <f t="shared" si="0"/>
        <v>10</v>
      </c>
      <c r="F13" s="42">
        <v>1290</v>
      </c>
      <c r="G13" s="6">
        <f t="shared" si="1"/>
        <v>-86</v>
      </c>
      <c r="H13" s="7"/>
    </row>
    <row r="14" spans="2:8" x14ac:dyDescent="0.2">
      <c r="B14" s="5" t="s">
        <v>11</v>
      </c>
      <c r="C14" s="6">
        <v>1393</v>
      </c>
      <c r="D14" s="42">
        <v>1385</v>
      </c>
      <c r="E14" s="6">
        <f t="shared" si="0"/>
        <v>8</v>
      </c>
      <c r="F14" s="42">
        <v>1242</v>
      </c>
      <c r="G14" s="6">
        <f t="shared" si="1"/>
        <v>151</v>
      </c>
      <c r="H14" s="7"/>
    </row>
    <row r="15" spans="2:8" x14ac:dyDescent="0.2">
      <c r="B15" s="5" t="s">
        <v>12</v>
      </c>
      <c r="C15" s="6">
        <v>1612</v>
      </c>
      <c r="D15" s="42">
        <v>1594</v>
      </c>
      <c r="E15" s="6">
        <f t="shared" si="0"/>
        <v>18</v>
      </c>
      <c r="F15" s="42">
        <v>1734</v>
      </c>
      <c r="G15" s="6">
        <f t="shared" si="1"/>
        <v>-122</v>
      </c>
      <c r="H15" s="7"/>
    </row>
    <row r="16" spans="2:8" x14ac:dyDescent="0.2">
      <c r="B16" s="5" t="s">
        <v>13</v>
      </c>
      <c r="C16" s="6">
        <v>1628</v>
      </c>
      <c r="D16" s="42">
        <v>1620</v>
      </c>
      <c r="E16" s="6">
        <f t="shared" si="0"/>
        <v>8</v>
      </c>
      <c r="F16" s="42">
        <v>1726</v>
      </c>
      <c r="G16" s="6">
        <f t="shared" si="1"/>
        <v>-98</v>
      </c>
      <c r="H16" s="7"/>
    </row>
    <row r="17" spans="2:8" x14ac:dyDescent="0.2">
      <c r="B17" s="5" t="s">
        <v>14</v>
      </c>
      <c r="C17" s="6">
        <v>1900</v>
      </c>
      <c r="D17" s="42">
        <v>1899</v>
      </c>
      <c r="E17" s="6">
        <f t="shared" si="0"/>
        <v>1</v>
      </c>
      <c r="F17" s="42">
        <v>1980</v>
      </c>
      <c r="G17" s="6">
        <f t="shared" si="1"/>
        <v>-80</v>
      </c>
      <c r="H17" s="7"/>
    </row>
    <row r="18" spans="2:8" x14ac:dyDescent="0.2">
      <c r="B18" s="5" t="s">
        <v>15</v>
      </c>
      <c r="C18" s="6">
        <v>1285</v>
      </c>
      <c r="D18" s="42">
        <v>1298</v>
      </c>
      <c r="E18" s="6">
        <f t="shared" si="0"/>
        <v>-13</v>
      </c>
      <c r="F18" s="42">
        <v>1393</v>
      </c>
      <c r="G18" s="6">
        <f t="shared" si="1"/>
        <v>-108</v>
      </c>
      <c r="H18" s="7"/>
    </row>
    <row r="19" spans="2:8" x14ac:dyDescent="0.2">
      <c r="B19" s="5" t="s">
        <v>16</v>
      </c>
      <c r="C19" s="6">
        <v>2491</v>
      </c>
      <c r="D19" s="42">
        <v>2506</v>
      </c>
      <c r="E19" s="6">
        <f t="shared" si="0"/>
        <v>-15</v>
      </c>
      <c r="F19" s="42">
        <v>2684</v>
      </c>
      <c r="G19" s="6">
        <f t="shared" si="1"/>
        <v>-193</v>
      </c>
      <c r="H19" s="7"/>
    </row>
    <row r="20" spans="2:8" x14ac:dyDescent="0.2">
      <c r="B20" s="5" t="s">
        <v>17</v>
      </c>
      <c r="C20" s="6">
        <v>1449</v>
      </c>
      <c r="D20" s="42">
        <v>1440</v>
      </c>
      <c r="E20" s="6">
        <f t="shared" si="0"/>
        <v>9</v>
      </c>
      <c r="F20" s="42">
        <v>1326</v>
      </c>
      <c r="G20" s="6">
        <f t="shared" si="1"/>
        <v>123</v>
      </c>
      <c r="H20" s="7"/>
    </row>
    <row r="21" spans="2:8" x14ac:dyDescent="0.2">
      <c r="B21" s="5" t="s">
        <v>18</v>
      </c>
      <c r="C21" s="6">
        <v>790</v>
      </c>
      <c r="D21" s="42">
        <v>769</v>
      </c>
      <c r="E21" s="6">
        <f t="shared" si="0"/>
        <v>21</v>
      </c>
      <c r="F21" s="42">
        <v>768</v>
      </c>
      <c r="G21" s="6">
        <f t="shared" si="1"/>
        <v>22</v>
      </c>
      <c r="H21" s="7"/>
    </row>
    <row r="22" spans="2:8" x14ac:dyDescent="0.2">
      <c r="B22" s="5" t="s">
        <v>19</v>
      </c>
      <c r="C22" s="6">
        <v>1862</v>
      </c>
      <c r="D22" s="42">
        <v>1868</v>
      </c>
      <c r="E22" s="6">
        <f t="shared" si="0"/>
        <v>-6</v>
      </c>
      <c r="F22" s="42">
        <v>1918</v>
      </c>
      <c r="G22" s="6">
        <f t="shared" si="1"/>
        <v>-56</v>
      </c>
      <c r="H22" s="7"/>
    </row>
    <row r="23" spans="2:8" x14ac:dyDescent="0.2">
      <c r="B23" s="5" t="s">
        <v>20</v>
      </c>
      <c r="C23" s="6">
        <v>626</v>
      </c>
      <c r="D23" s="42">
        <v>615</v>
      </c>
      <c r="E23" s="6">
        <f t="shared" si="0"/>
        <v>11</v>
      </c>
      <c r="F23" s="42">
        <v>618</v>
      </c>
      <c r="G23" s="6">
        <f t="shared" si="1"/>
        <v>8</v>
      </c>
      <c r="H23" s="7"/>
    </row>
    <row r="24" spans="2:8" x14ac:dyDescent="0.2">
      <c r="B24" s="5" t="s">
        <v>21</v>
      </c>
      <c r="C24" s="6">
        <v>331</v>
      </c>
      <c r="D24" s="42">
        <v>320</v>
      </c>
      <c r="E24" s="6">
        <f t="shared" si="0"/>
        <v>11</v>
      </c>
      <c r="F24" s="42">
        <v>298</v>
      </c>
      <c r="G24" s="6">
        <f t="shared" si="1"/>
        <v>33</v>
      </c>
      <c r="H24" s="7"/>
    </row>
    <row r="25" spans="2:8" x14ac:dyDescent="0.2">
      <c r="B25" s="5" t="s">
        <v>22</v>
      </c>
      <c r="C25" s="26">
        <v>1438</v>
      </c>
      <c r="D25" s="42">
        <v>1448</v>
      </c>
      <c r="E25" s="26">
        <f t="shared" si="0"/>
        <v>-10</v>
      </c>
      <c r="F25" s="42">
        <v>1534</v>
      </c>
      <c r="G25" s="6">
        <f t="shared" si="1"/>
        <v>-96</v>
      </c>
      <c r="H25" s="7"/>
    </row>
    <row r="26" spans="2:8" x14ac:dyDescent="0.2">
      <c r="B26" s="5" t="s">
        <v>23</v>
      </c>
      <c r="C26" s="26">
        <v>2957</v>
      </c>
      <c r="D26" s="42">
        <v>2975</v>
      </c>
      <c r="E26" s="26">
        <f t="shared" si="0"/>
        <v>-18</v>
      </c>
      <c r="F26" s="42">
        <v>3219</v>
      </c>
      <c r="G26" s="6">
        <f t="shared" si="1"/>
        <v>-262</v>
      </c>
      <c r="H26" s="7"/>
    </row>
    <row r="27" spans="2:8" x14ac:dyDescent="0.2">
      <c r="B27" s="5" t="s">
        <v>24</v>
      </c>
      <c r="C27" s="26">
        <v>535</v>
      </c>
      <c r="D27" s="42">
        <v>543</v>
      </c>
      <c r="E27" s="26">
        <f>SUM(C27)-D27</f>
        <v>-8</v>
      </c>
      <c r="F27" s="42">
        <v>530</v>
      </c>
      <c r="G27" s="6">
        <f t="shared" si="1"/>
        <v>5</v>
      </c>
      <c r="H27" s="7"/>
    </row>
    <row r="28" spans="2:8" ht="15" x14ac:dyDescent="0.25">
      <c r="B28" s="39" t="s">
        <v>25</v>
      </c>
      <c r="C28" s="40">
        <f>SUM(C3:C27)</f>
        <v>35859</v>
      </c>
      <c r="D28" s="41">
        <f>SUM(D3:D27)</f>
        <v>35900</v>
      </c>
      <c r="E28" s="40">
        <f>SUM(E3:E27)</f>
        <v>-41</v>
      </c>
      <c r="F28" s="41">
        <f>SUM(F3:F27)</f>
        <v>36969</v>
      </c>
      <c r="G28" s="40">
        <f>SUM(G3:G27)</f>
        <v>-1110</v>
      </c>
      <c r="H28" s="7"/>
    </row>
    <row r="29" spans="2:8" ht="15" x14ac:dyDescent="0.25">
      <c r="B29" s="3" t="s">
        <v>49</v>
      </c>
      <c r="E29" s="19"/>
      <c r="F29" s="7"/>
      <c r="G29" s="7"/>
    </row>
    <row r="30" spans="2:8" x14ac:dyDescent="0.2">
      <c r="B30" s="3" t="s">
        <v>50</v>
      </c>
    </row>
    <row r="32" spans="2:8" ht="25.5" x14ac:dyDescent="0.2">
      <c r="C32" s="145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31-07-'24 r.</v>
      </c>
      <c r="E3" s="36" t="str">
        <f>T('4długot.'!D2)</f>
        <v>liczba bezrobotnych pow. 12 m-cy stan na 30-06-'24 r.</v>
      </c>
      <c r="F3" s="36" t="str">
        <f>T('4długot.'!E2)</f>
        <v>wzrost/spadek do poprzedniego  miesiąca</v>
      </c>
      <c r="G3" s="36" t="str">
        <f>T('4długot.'!F2)</f>
        <v>liczba bezrobotnych pow. 12 m-cy,  stan na 31-07-'23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331</v>
      </c>
      <c r="E4" s="42">
        <f>INDEX('4długot.'!B3:G28,MATCH(1,B4:B29,0),3)</f>
        <v>320</v>
      </c>
      <c r="F4" s="6">
        <f>INDEX('4długot.'!B3:G28,MATCH(1,B4:B29,0),4)</f>
        <v>11</v>
      </c>
      <c r="G4" s="42">
        <f>INDEX('4długot.'!B3:G28,MATCH(1,B4:B29,0),5)</f>
        <v>298</v>
      </c>
      <c r="H4" s="6">
        <f>INDEX('4długot.'!B3:G28,MATCH(1,B4:B29,0),6)</f>
        <v>33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535</v>
      </c>
      <c r="E5" s="42">
        <f>INDEX('4długot.'!B3:G28,MATCH(2,B4:B29,0),3)</f>
        <v>543</v>
      </c>
      <c r="F5" s="6">
        <f>INDEX('4długot.'!B3:G28,MATCH(2,B4:B29,0),4)</f>
        <v>-8</v>
      </c>
      <c r="G5" s="42">
        <f>INDEX('4długot.'!B3:G28,MATCH(2,B4:B29,0),5)</f>
        <v>530</v>
      </c>
      <c r="H5" s="6">
        <f>INDEX('4długot.'!B3:G28,MATCH(2,B4:B29,0),6)</f>
        <v>5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>bieszczadzki</v>
      </c>
      <c r="D6" s="6">
        <f>INDEX('4długot.'!B3:G28,MATCH(3,B4:B29,0),2)</f>
        <v>609</v>
      </c>
      <c r="E6" s="42">
        <f>INDEX('4długot.'!B3:G28,MATCH(3,B4:B29,0),3)</f>
        <v>617</v>
      </c>
      <c r="F6" s="6">
        <f>INDEX('4długot.'!B3:G28,MATCH(3,B4:B29,0),4)</f>
        <v>-8</v>
      </c>
      <c r="G6" s="42">
        <f>INDEX('4długot.'!B3:G28,MATCH(3,B4:B29,0),5)</f>
        <v>603</v>
      </c>
      <c r="H6" s="6">
        <f>INDEX('4długot.'!B3:G28,MATCH(3,B4:B29,0),6)</f>
        <v>6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626</v>
      </c>
      <c r="E7" s="42">
        <f>INDEX('4długot.'!B3:G28,MATCH(4,B4:B29,0),3)</f>
        <v>615</v>
      </c>
      <c r="F7" s="6">
        <f>INDEX('4długot.'!B3:G28,MATCH(4,B4:B29,0),4)</f>
        <v>11</v>
      </c>
      <c r="G7" s="42">
        <f>INDEX('4długot.'!B3:G28,MATCH(4,B4:B29,0),5)</f>
        <v>618</v>
      </c>
      <c r="H7" s="6">
        <f>INDEX('4długot.'!B3:G28,MATCH(4,B4:B29,0),6)</f>
        <v>8</v>
      </c>
    </row>
    <row r="8" spans="2:8" x14ac:dyDescent="0.2">
      <c r="B8" s="6">
        <f>RANK('4długot.'!C7,'4długot.'!$C$3:'4długot.'!$C$28,1)+COUNTIF('4długot.'!$C$3:'4długot.'!C7,'4długot.'!C7)-1</f>
        <v>24</v>
      </c>
      <c r="C8" s="5" t="str">
        <f>INDEX('4długot.'!B3:G28,MATCH(5,B4:B29,0),1)</f>
        <v>kolbuszowski</v>
      </c>
      <c r="D8" s="6">
        <f>INDEX('4długot.'!B3:G28,MATCH(5,B4:B29,0),2)</f>
        <v>714</v>
      </c>
      <c r="E8" s="42">
        <f>INDEX('4długot.'!B3:G28,MATCH(5,B4:B29,0),3)</f>
        <v>713</v>
      </c>
      <c r="F8" s="6">
        <f>INDEX('4długot.'!B3:G28,MATCH(5,B4:B29,0),4)</f>
        <v>1</v>
      </c>
      <c r="G8" s="42">
        <f>INDEX('4długot.'!B3:G28,MATCH(5,B4:B29,0),5)</f>
        <v>749</v>
      </c>
      <c r="H8" s="6">
        <f>INDEX('4długot.'!B3:G28,MATCH(5,B4:B29,0),6)</f>
        <v>-35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stalowowolski</v>
      </c>
      <c r="D9" s="6">
        <f>INDEX('4długot.'!B3:G28,MATCH(6,B4:B29,0),2)</f>
        <v>790</v>
      </c>
      <c r="E9" s="42">
        <f>INDEX('4długot.'!B3:G28,MATCH(6,B4:B29,0),3)</f>
        <v>769</v>
      </c>
      <c r="F9" s="6">
        <f>INDEX('4długot.'!B3:G28,MATCH(6,B4:B29,0),4)</f>
        <v>21</v>
      </c>
      <c r="G9" s="42">
        <f>INDEX('4długot.'!B3:G28,MATCH(6,B4:B29,0),5)</f>
        <v>768</v>
      </c>
      <c r="H9" s="6">
        <f>INDEX('4długot.'!B3:G28,MATCH(6,B4:B29,0),6)</f>
        <v>22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lubaczowski</v>
      </c>
      <c r="D10" s="6">
        <f>INDEX('4długot.'!B3:G28,MATCH(7,B4:B29,0),2)</f>
        <v>828</v>
      </c>
      <c r="E10" s="42">
        <f>INDEX('4długot.'!B3:G28,MATCH(7,B4:B29,0),3)</f>
        <v>823</v>
      </c>
      <c r="F10" s="6">
        <f>INDEX('4długot.'!B3:G28,MATCH(7,B4:B29,0),4)</f>
        <v>5</v>
      </c>
      <c r="G10" s="42">
        <f>INDEX('4długot.'!B3:G28,MATCH(7,B4:B29,0),5)</f>
        <v>874</v>
      </c>
      <c r="H10" s="6">
        <f>INDEX('4długot.'!B3:G28,MATCH(7,B4:B29,0),6)</f>
        <v>-46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957</v>
      </c>
      <c r="E11" s="42">
        <f>INDEX('4długot.'!B3:G28,MATCH(8,B4:B29,0),3)</f>
        <v>954</v>
      </c>
      <c r="F11" s="6">
        <f>INDEX('4długot.'!B3:G28,MATCH(8,B4:B29,0),4)</f>
        <v>3</v>
      </c>
      <c r="G11" s="42">
        <f>INDEX('4długot.'!B3:G28,MATCH(8,B4:B29,0),5)</f>
        <v>982</v>
      </c>
      <c r="H11" s="6">
        <f>INDEX('4długot.'!B3:G28,MATCH(8,B4:B29,0),6)</f>
        <v>-25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krośnieński</v>
      </c>
      <c r="D12" s="6">
        <f>INDEX('4długot.'!B3:G28,MATCH(9,B4:B29,0),2)</f>
        <v>972</v>
      </c>
      <c r="E12" s="42">
        <f>INDEX('4długot.'!B3:G28,MATCH(9,B4:B29,0),3)</f>
        <v>973</v>
      </c>
      <c r="F12" s="6">
        <f>INDEX('4długot.'!B3:G28,MATCH(9,B4:B29,0),4)</f>
        <v>-1</v>
      </c>
      <c r="G12" s="42">
        <f>INDEX('4długot.'!B3:G28,MATCH(9,B4:B29,0),5)</f>
        <v>912</v>
      </c>
      <c r="H12" s="6">
        <f>INDEX('4długot.'!B3:G28,MATCH(9,B4:B29,0),6)</f>
        <v>60</v>
      </c>
    </row>
    <row r="13" spans="2:8" x14ac:dyDescent="0.2">
      <c r="B13" s="6">
        <f>RANK('4długot.'!C12,'4długot.'!$C$3:'4długot.'!$C$28,1)+COUNTIF('4długot.'!$C$3:'4długot.'!C12,'4długot.'!C12)-1</f>
        <v>7</v>
      </c>
      <c r="C13" s="5" t="str">
        <f>INDEX('4długot.'!B3:G28,MATCH(10,B4:B29,0),1)</f>
        <v>leski</v>
      </c>
      <c r="D13" s="6">
        <f>INDEX('4długot.'!B3:G28,MATCH(10,B4:B29,0),2)</f>
        <v>1013</v>
      </c>
      <c r="E13" s="42">
        <f>INDEX('4długot.'!B3:G28,MATCH(10,B4:B29,0),3)</f>
        <v>1027</v>
      </c>
      <c r="F13" s="6">
        <f>INDEX('4długot.'!B3:G28,MATCH(10,B4:B29,0),4)</f>
        <v>-14</v>
      </c>
      <c r="G13" s="42">
        <f>INDEX('4długot.'!B3:G28,MATCH(10,B4:B29,0),5)</f>
        <v>1017</v>
      </c>
      <c r="H13" s="6">
        <f>INDEX('4długot.'!B3:G28,MATCH(10,B4:B29,0),6)</f>
        <v>-4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1204</v>
      </c>
      <c r="E14" s="42">
        <f>INDEX('4długot.'!B3:G28,MATCH(11,B4:B29,0),3)</f>
        <v>1194</v>
      </c>
      <c r="F14" s="6">
        <f>INDEX('4długot.'!B3:G28,MATCH(11,B4:B29,0),4)</f>
        <v>10</v>
      </c>
      <c r="G14" s="42">
        <f>INDEX('4długot.'!B3:G28,MATCH(11,B4:B29,0),5)</f>
        <v>1290</v>
      </c>
      <c r="H14" s="6">
        <f>INDEX('4długot.'!B3:G28,MATCH(11,B4:B29,0),6)</f>
        <v>-86</v>
      </c>
    </row>
    <row r="15" spans="2:8" x14ac:dyDescent="0.2">
      <c r="B15" s="6">
        <f>RANK('4długot.'!C14,'4długot.'!$C$3:'4długot.'!$C$28,1)+COUNTIF('4długot.'!$C$3:'4długot.'!C14,'4długot.'!C14)-1</f>
        <v>13</v>
      </c>
      <c r="C15" s="5" t="str">
        <f>INDEX('4długot.'!B3:G28,MATCH(12,B4:B29,0),1)</f>
        <v>ropczycko-sędziszowski</v>
      </c>
      <c r="D15" s="6">
        <f>INDEX('4długot.'!B3:G28,MATCH(12,B4:B29,0),2)</f>
        <v>1285</v>
      </c>
      <c r="E15" s="42">
        <f>INDEX('4długot.'!B3:G28,MATCH(12,B4:B29,0),3)</f>
        <v>1298</v>
      </c>
      <c r="F15" s="6">
        <f>INDEX('4długot.'!B3:G28,MATCH(12,B4:B29,0),4)</f>
        <v>-13</v>
      </c>
      <c r="G15" s="42">
        <f>INDEX('4długot.'!B3:G28,MATCH(12,B4:B29,0),5)</f>
        <v>1393</v>
      </c>
      <c r="H15" s="6">
        <f>INDEX('4długot.'!B3:G28,MATCH(12,B4:B29,0),6)</f>
        <v>-108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mielecki</v>
      </c>
      <c r="D16" s="6">
        <f>INDEX('4długot.'!B3:G28,MATCH(13,B4:B29,0),2)</f>
        <v>1393</v>
      </c>
      <c r="E16" s="42">
        <f>INDEX('4długot.'!B3:G28,MATCH(13,B4:B29,0),3)</f>
        <v>1385</v>
      </c>
      <c r="F16" s="6">
        <f>INDEX('4długot.'!B3:G28,MATCH(13,B4:B29,0),4)</f>
        <v>8</v>
      </c>
      <c r="G16" s="42">
        <f>INDEX('4długot.'!B3:G28,MATCH(13,B4:B29,0),5)</f>
        <v>1242</v>
      </c>
      <c r="H16" s="6">
        <f>INDEX('4długot.'!B3:G28,MATCH(13,B4:B29,0),6)</f>
        <v>151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Przemyśl</v>
      </c>
      <c r="D17" s="6">
        <f>INDEX('4długot.'!B3:G28,MATCH(14,B4:B29,0),2)</f>
        <v>1438</v>
      </c>
      <c r="E17" s="42">
        <f>INDEX('4długot.'!B3:G28,MATCH(14,B4:B29,0),3)</f>
        <v>1448</v>
      </c>
      <c r="F17" s="6">
        <f>INDEX('4długot.'!B3:G28,MATCH(14,B4:B29,0),4)</f>
        <v>-10</v>
      </c>
      <c r="G17" s="42">
        <f>INDEX('4długot.'!B3:G28,MATCH(14,B4:B29,0),5)</f>
        <v>1534</v>
      </c>
      <c r="H17" s="6">
        <f>INDEX('4długot.'!B3:G28,MATCH(14,B4:B29,0),6)</f>
        <v>-96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1449</v>
      </c>
      <c r="E18" s="42">
        <f>INDEX('4długot.'!B3:G28,MATCH(15,B4:B29,0),3)</f>
        <v>1440</v>
      </c>
      <c r="F18" s="6">
        <f>INDEX('4długot.'!B3:G28,MATCH(15,B4:B29,0),4)</f>
        <v>9</v>
      </c>
      <c r="G18" s="42">
        <f>INDEX('4długot.'!B3:G28,MATCH(15,B4:B29,0),5)</f>
        <v>1326</v>
      </c>
      <c r="H18" s="6">
        <f>INDEX('4długot.'!B3:G28,MATCH(15,B4:B29,0),6)</f>
        <v>123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niżański</v>
      </c>
      <c r="D19" s="6">
        <f>INDEX('4długot.'!B3:G28,MATCH(16,B4:B29,0),2)</f>
        <v>1612</v>
      </c>
      <c r="E19" s="42">
        <f>INDEX('4długot.'!B3:G28,MATCH(16,B4:B29,0),3)</f>
        <v>1594</v>
      </c>
      <c r="F19" s="6">
        <f>INDEX('4długot.'!B3:G28,MATCH(16,B4:B29,0),4)</f>
        <v>18</v>
      </c>
      <c r="G19" s="42">
        <f>INDEX('4długot.'!B3:G28,MATCH(16,B4:B29,0),5)</f>
        <v>1734</v>
      </c>
      <c r="H19" s="6">
        <f>INDEX('4długot.'!B3:G28,MATCH(16,B4:B29,0),6)</f>
        <v>-122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1628</v>
      </c>
      <c r="E20" s="42">
        <f>INDEX('4długot.'!B3:G28,MATCH(17,B4:B29,0),3)</f>
        <v>1641</v>
      </c>
      <c r="F20" s="6">
        <f>INDEX('4długot.'!B3:G28,MATCH(17,B4:B29,0),4)</f>
        <v>-13</v>
      </c>
      <c r="G20" s="42">
        <f>INDEX('4długot.'!B3:G28,MATCH(17,B4:B29,0),5)</f>
        <v>1748</v>
      </c>
      <c r="H20" s="6">
        <f>INDEX('4długot.'!B3:G28,MATCH(17,B4:B29,0),6)</f>
        <v>-120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1628</v>
      </c>
      <c r="E21" s="42">
        <f>INDEX('4długot.'!B3:G28,MATCH(18,B4:B29,0),3)</f>
        <v>1620</v>
      </c>
      <c r="F21" s="6">
        <f>INDEX('4długot.'!B3:G28,MATCH(18,B4:B29,0),4)</f>
        <v>8</v>
      </c>
      <c r="G21" s="42">
        <f>INDEX('4długot.'!B3:G28,MATCH(18,B4:B29,0),5)</f>
        <v>1726</v>
      </c>
      <c r="H21" s="6">
        <f>INDEX('4długot.'!B3:G28,MATCH(18,B4:B29,0),6)</f>
        <v>-98</v>
      </c>
    </row>
    <row r="22" spans="2:8" x14ac:dyDescent="0.2">
      <c r="B22" s="6">
        <f>RANK('4długot.'!C21,'4długot.'!$C$3:'4długot.'!$C$28,1)+COUNTIF('4długot.'!$C$3:'4długot.'!C21,'4długot.'!C21)-1</f>
        <v>6</v>
      </c>
      <c r="C22" s="5" t="str">
        <f>INDEX('4długot.'!B3:G28,MATCH(19,B4:B29,0),1)</f>
        <v>strzyżowski</v>
      </c>
      <c r="D22" s="6">
        <f>INDEX('4długot.'!B3:G28,MATCH(19,B4:B29,0),2)</f>
        <v>1862</v>
      </c>
      <c r="E22" s="42">
        <f>INDEX('4długot.'!B3:G28,MATCH(19,B4:B29,0),3)</f>
        <v>1868</v>
      </c>
      <c r="F22" s="6">
        <f>INDEX('4długot.'!B3:G28,MATCH(19,B4:B29,0),4)</f>
        <v>-6</v>
      </c>
      <c r="G22" s="42">
        <f>INDEX('4długot.'!B3:G28,MATCH(19,B4:B29,0),5)</f>
        <v>1918</v>
      </c>
      <c r="H22" s="6">
        <f>INDEX('4długot.'!B3:G28,MATCH(19,B4:B29,0),6)</f>
        <v>-56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1900</v>
      </c>
      <c r="E23" s="42">
        <f>INDEX('4długot.'!B3:G28,MATCH(20,B4:B29,0),3)</f>
        <v>1899</v>
      </c>
      <c r="F23" s="6">
        <f>INDEX('4długot.'!B3:G28,MATCH(20,B4:B29,0),4)</f>
        <v>1</v>
      </c>
      <c r="G23" s="42">
        <f>INDEX('4długot.'!B3:G28,MATCH(20,B4:B29,0),5)</f>
        <v>1980</v>
      </c>
      <c r="H23" s="6">
        <f>INDEX('4długot.'!B3:G28,MATCH(20,B4:B29,0),6)</f>
        <v>-80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2328</v>
      </c>
      <c r="E24" s="42">
        <f>INDEX('4długot.'!B3:G28,MATCH(21,B4:B29,0),3)</f>
        <v>2314</v>
      </c>
      <c r="F24" s="6">
        <f>INDEX('4długot.'!B3:G28,MATCH(21,B4:B29,0),4)</f>
        <v>14</v>
      </c>
      <c r="G24" s="42">
        <f>INDEX('4długot.'!B3:G28,MATCH(21,B4:B29,0),5)</f>
        <v>2377</v>
      </c>
      <c r="H24" s="6">
        <f>INDEX('4długot.'!B3:G28,MATCH(21,B4:B29,0),6)</f>
        <v>-49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2420</v>
      </c>
      <c r="E25" s="42">
        <f>INDEX('4długot.'!B3:G28,MATCH(22,B4:B29,0),3)</f>
        <v>2442</v>
      </c>
      <c r="F25" s="6">
        <f>INDEX('4długot.'!B3:G28,MATCH(22,B4:B29,0),4)</f>
        <v>-22</v>
      </c>
      <c r="G25" s="42">
        <f>INDEX('4długot.'!B3:G28,MATCH(22,B4:B29,0),5)</f>
        <v>2508</v>
      </c>
      <c r="H25" s="6">
        <f>INDEX('4długot.'!B3:G28,MATCH(22,B4:B29,0),6)</f>
        <v>-88</v>
      </c>
    </row>
    <row r="26" spans="2:8" x14ac:dyDescent="0.2">
      <c r="B26" s="6">
        <f>RANK('4długot.'!C25,'4długot.'!$C$3:'4długot.'!$C$28,1)+COUNTIF('4długot.'!$C$3:'4długot.'!C25,'4długot.'!C25)-1</f>
        <v>14</v>
      </c>
      <c r="C26" s="5" t="str">
        <f>INDEX('4długot.'!B3:G28,MATCH(23,B4:B29,0),1)</f>
        <v>rzeszowski</v>
      </c>
      <c r="D26" s="6">
        <f>INDEX('4długot.'!B3:G28,MATCH(23,B4:B29,0),2)</f>
        <v>2491</v>
      </c>
      <c r="E26" s="42">
        <f>INDEX('4długot.'!B3:G28,MATCH(23,B4:B29,0),3)</f>
        <v>2506</v>
      </c>
      <c r="F26" s="6">
        <f>INDEX('4długot.'!B3:G28,MATCH(23,B4:B29,0),4)</f>
        <v>-15</v>
      </c>
      <c r="G26" s="42">
        <f>INDEX('4długot.'!B3:G28,MATCH(23,B4:B29,0),5)</f>
        <v>2684</v>
      </c>
      <c r="H26" s="6">
        <f>INDEX('4długot.'!B3:G28,MATCH(23,B4:B29,0),6)</f>
        <v>-193</v>
      </c>
    </row>
    <row r="27" spans="2:8" x14ac:dyDescent="0.2">
      <c r="B27" s="6">
        <f>RANK('4długot.'!C26,'4długot.'!$C$3:'4długot.'!$C$28,1)+COUNTIF('4długot.'!$C$3:'4długot.'!C26,'4długot.'!C26)-1</f>
        <v>25</v>
      </c>
      <c r="C27" s="5" t="str">
        <f>INDEX('4długot.'!B3:G28,MATCH(24,B4:B29,0),1)</f>
        <v>jasielski</v>
      </c>
      <c r="D27" s="6">
        <f>INDEX('4długot.'!B3:G28,MATCH(24,B4:B29,0),2)</f>
        <v>2889</v>
      </c>
      <c r="E27" s="42">
        <f>INDEX('4długot.'!B3:G28,MATCH(24,B4:B29,0),3)</f>
        <v>2922</v>
      </c>
      <c r="F27" s="6">
        <f>INDEX('4długot.'!B3:G28,MATCH(24,B4:B29,0),4)</f>
        <v>-33</v>
      </c>
      <c r="G27" s="42">
        <f>INDEX('4długot.'!B3:G28,MATCH(24,B4:B29,0),5)</f>
        <v>2939</v>
      </c>
      <c r="H27" s="6">
        <f>INDEX('4długot.'!B3:G28,MATCH(24,B4:B29,0),6)</f>
        <v>-50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Rzeszów</v>
      </c>
      <c r="D28" s="6">
        <f>INDEX('4długot.'!B3:G28,MATCH(25,B4:B29,0),2)</f>
        <v>2957</v>
      </c>
      <c r="E28" s="42">
        <f>INDEX('4długot.'!B3:G28,MATCH(25,B4:B29,0),3)</f>
        <v>2975</v>
      </c>
      <c r="F28" s="6">
        <f>INDEX('4długot.'!B3:G28,MATCH(25,B4:B29,0),4)</f>
        <v>-18</v>
      </c>
      <c r="G28" s="42">
        <f>INDEX('4długot.'!B3:G28,MATCH(25,B4:B29,0),5)</f>
        <v>3219</v>
      </c>
      <c r="H28" s="6">
        <f>INDEX('4długot.'!B3:G28,MATCH(25,B4:B29,0),6)</f>
        <v>-262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35859</v>
      </c>
      <c r="E29" s="44">
        <f>INDEX('4długot.'!B3:G28,MATCH(26,B4:B29,0),3)</f>
        <v>35900</v>
      </c>
      <c r="F29" s="40">
        <f>INDEX('4długot.'!B3:G28,MATCH(26,B4:B29,0),4)</f>
        <v>-41</v>
      </c>
      <c r="G29" s="44">
        <f>INDEX('4długot.'!B3:G28,MATCH(26,B4:B29,0),5)</f>
        <v>36969</v>
      </c>
      <c r="H29" s="40">
        <f>INDEX('4długot.'!B3:G28,MATCH(26,B4:B29,0),6)</f>
        <v>-1110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88</v>
      </c>
      <c r="D2" s="38" t="s">
        <v>87</v>
      </c>
      <c r="E2" s="37" t="s">
        <v>28</v>
      </c>
      <c r="F2" s="38" t="s">
        <v>89</v>
      </c>
      <c r="G2" s="37" t="s">
        <v>26</v>
      </c>
    </row>
    <row r="3" spans="2:8" x14ac:dyDescent="0.2">
      <c r="B3" s="5" t="s">
        <v>0</v>
      </c>
      <c r="C3" s="28">
        <v>254</v>
      </c>
      <c r="D3" s="42">
        <v>267</v>
      </c>
      <c r="E3" s="28">
        <f t="shared" ref="E3:E27" si="0">SUM(C3)-D3</f>
        <v>-13</v>
      </c>
      <c r="F3" s="42">
        <v>240</v>
      </c>
      <c r="G3" s="28">
        <f t="shared" ref="G3:G27" si="1">SUM(C3)-F3</f>
        <v>14</v>
      </c>
      <c r="H3" s="7"/>
    </row>
    <row r="4" spans="2:8" x14ac:dyDescent="0.2">
      <c r="B4" s="5" t="s">
        <v>1</v>
      </c>
      <c r="C4" s="28">
        <v>888</v>
      </c>
      <c r="D4" s="42">
        <v>856</v>
      </c>
      <c r="E4" s="28">
        <f t="shared" si="0"/>
        <v>32</v>
      </c>
      <c r="F4" s="42">
        <v>909</v>
      </c>
      <c r="G4" s="28">
        <f t="shared" si="1"/>
        <v>-21</v>
      </c>
      <c r="H4" s="7"/>
    </row>
    <row r="5" spans="2:8" x14ac:dyDescent="0.2">
      <c r="B5" s="5" t="s">
        <v>2</v>
      </c>
      <c r="C5" s="28">
        <v>659</v>
      </c>
      <c r="D5" s="42">
        <v>652</v>
      </c>
      <c r="E5" s="28">
        <f t="shared" si="0"/>
        <v>7</v>
      </c>
      <c r="F5" s="42">
        <v>659</v>
      </c>
      <c r="G5" s="28">
        <f t="shared" si="1"/>
        <v>0</v>
      </c>
      <c r="H5" s="7"/>
    </row>
    <row r="6" spans="2:8" x14ac:dyDescent="0.2">
      <c r="B6" s="5" t="s">
        <v>3</v>
      </c>
      <c r="C6" s="28">
        <v>1079</v>
      </c>
      <c r="D6" s="42">
        <v>1044</v>
      </c>
      <c r="E6" s="28">
        <f t="shared" si="0"/>
        <v>35</v>
      </c>
      <c r="F6" s="42">
        <v>1062</v>
      </c>
      <c r="G6" s="28">
        <f t="shared" si="1"/>
        <v>17</v>
      </c>
      <c r="H6" s="7"/>
    </row>
    <row r="7" spans="2:8" x14ac:dyDescent="0.2">
      <c r="B7" s="5" t="s">
        <v>4</v>
      </c>
      <c r="C7" s="28">
        <v>1146</v>
      </c>
      <c r="D7" s="42">
        <v>1151</v>
      </c>
      <c r="E7" s="28">
        <f t="shared" si="0"/>
        <v>-5</v>
      </c>
      <c r="F7" s="42">
        <v>1140</v>
      </c>
      <c r="G7" s="28">
        <f t="shared" si="1"/>
        <v>6</v>
      </c>
      <c r="H7" s="7"/>
    </row>
    <row r="8" spans="2:8" x14ac:dyDescent="0.2">
      <c r="B8" s="5" t="s">
        <v>5</v>
      </c>
      <c r="C8" s="28">
        <v>409</v>
      </c>
      <c r="D8" s="42">
        <v>411</v>
      </c>
      <c r="E8" s="28">
        <f t="shared" si="0"/>
        <v>-2</v>
      </c>
      <c r="F8" s="42">
        <v>440</v>
      </c>
      <c r="G8" s="28">
        <f t="shared" si="1"/>
        <v>-31</v>
      </c>
      <c r="H8" s="7"/>
    </row>
    <row r="9" spans="2:8" x14ac:dyDescent="0.2">
      <c r="B9" s="9" t="s">
        <v>6</v>
      </c>
      <c r="C9" s="28">
        <v>533</v>
      </c>
      <c r="D9" s="42">
        <v>527</v>
      </c>
      <c r="E9" s="28">
        <f t="shared" si="0"/>
        <v>6</v>
      </c>
      <c r="F9" s="42">
        <v>534</v>
      </c>
      <c r="G9" s="28">
        <f t="shared" si="1"/>
        <v>-1</v>
      </c>
      <c r="H9" s="7"/>
    </row>
    <row r="10" spans="2:8" x14ac:dyDescent="0.2">
      <c r="B10" s="5" t="s">
        <v>7</v>
      </c>
      <c r="C10" s="28">
        <v>360</v>
      </c>
      <c r="D10" s="42">
        <v>378</v>
      </c>
      <c r="E10" s="28">
        <f t="shared" si="0"/>
        <v>-18</v>
      </c>
      <c r="F10" s="42">
        <v>378</v>
      </c>
      <c r="G10" s="28">
        <f t="shared" si="1"/>
        <v>-18</v>
      </c>
      <c r="H10" s="7"/>
    </row>
    <row r="11" spans="2:8" x14ac:dyDescent="0.2">
      <c r="B11" s="5" t="s">
        <v>8</v>
      </c>
      <c r="C11" s="28">
        <v>747</v>
      </c>
      <c r="D11" s="42">
        <v>755</v>
      </c>
      <c r="E11" s="28">
        <f t="shared" si="0"/>
        <v>-8</v>
      </c>
      <c r="F11" s="42">
        <v>816</v>
      </c>
      <c r="G11" s="28">
        <f t="shared" si="1"/>
        <v>-69</v>
      </c>
      <c r="H11" s="7"/>
    </row>
    <row r="12" spans="2:8" x14ac:dyDescent="0.2">
      <c r="B12" s="5" t="s">
        <v>9</v>
      </c>
      <c r="C12" s="28">
        <v>407</v>
      </c>
      <c r="D12" s="42">
        <v>418</v>
      </c>
      <c r="E12" s="28">
        <f t="shared" si="0"/>
        <v>-11</v>
      </c>
      <c r="F12" s="42">
        <v>439</v>
      </c>
      <c r="G12" s="28">
        <f t="shared" si="1"/>
        <v>-32</v>
      </c>
      <c r="H12" s="7"/>
    </row>
    <row r="13" spans="2:8" x14ac:dyDescent="0.2">
      <c r="B13" s="5" t="s">
        <v>10</v>
      </c>
      <c r="C13" s="28">
        <v>708</v>
      </c>
      <c r="D13" s="42">
        <v>718</v>
      </c>
      <c r="E13" s="28">
        <f t="shared" si="0"/>
        <v>-10</v>
      </c>
      <c r="F13" s="42">
        <v>699</v>
      </c>
      <c r="G13" s="28">
        <f t="shared" si="1"/>
        <v>9</v>
      </c>
      <c r="H13" s="7"/>
    </row>
    <row r="14" spans="2:8" x14ac:dyDescent="0.2">
      <c r="B14" s="5" t="s">
        <v>11</v>
      </c>
      <c r="C14" s="28">
        <v>769</v>
      </c>
      <c r="D14" s="42">
        <v>717</v>
      </c>
      <c r="E14" s="28">
        <f t="shared" si="0"/>
        <v>52</v>
      </c>
      <c r="F14" s="42">
        <v>735</v>
      </c>
      <c r="G14" s="28">
        <f t="shared" si="1"/>
        <v>34</v>
      </c>
      <c r="H14" s="7"/>
    </row>
    <row r="15" spans="2:8" x14ac:dyDescent="0.2">
      <c r="B15" s="5" t="s">
        <v>12</v>
      </c>
      <c r="C15" s="28">
        <v>734</v>
      </c>
      <c r="D15" s="42">
        <v>709</v>
      </c>
      <c r="E15" s="28">
        <f t="shared" si="0"/>
        <v>25</v>
      </c>
      <c r="F15" s="42">
        <v>784</v>
      </c>
      <c r="G15" s="28">
        <f t="shared" si="1"/>
        <v>-50</v>
      </c>
      <c r="H15" s="7"/>
    </row>
    <row r="16" spans="2:8" x14ac:dyDescent="0.2">
      <c r="B16" s="5" t="s">
        <v>13</v>
      </c>
      <c r="C16" s="28">
        <v>766</v>
      </c>
      <c r="D16" s="42">
        <v>729</v>
      </c>
      <c r="E16" s="28">
        <f t="shared" si="0"/>
        <v>37</v>
      </c>
      <c r="F16" s="42">
        <v>701</v>
      </c>
      <c r="G16" s="28">
        <f t="shared" si="1"/>
        <v>65</v>
      </c>
      <c r="H16" s="7"/>
    </row>
    <row r="17" spans="2:8" x14ac:dyDescent="0.2">
      <c r="B17" s="5" t="s">
        <v>14</v>
      </c>
      <c r="C17" s="28">
        <v>855</v>
      </c>
      <c r="D17" s="42">
        <v>871</v>
      </c>
      <c r="E17" s="28">
        <f t="shared" si="0"/>
        <v>-16</v>
      </c>
      <c r="F17" s="42">
        <v>903</v>
      </c>
      <c r="G17" s="28">
        <f t="shared" si="1"/>
        <v>-48</v>
      </c>
      <c r="H17" s="7"/>
    </row>
    <row r="18" spans="2:8" x14ac:dyDescent="0.2">
      <c r="B18" s="5" t="s">
        <v>15</v>
      </c>
      <c r="C18" s="28">
        <v>769</v>
      </c>
      <c r="D18" s="42">
        <v>762</v>
      </c>
      <c r="E18" s="28">
        <f t="shared" si="0"/>
        <v>7</v>
      </c>
      <c r="F18" s="42">
        <v>761</v>
      </c>
      <c r="G18" s="28">
        <f t="shared" si="1"/>
        <v>8</v>
      </c>
      <c r="H18" s="7"/>
    </row>
    <row r="19" spans="2:8" x14ac:dyDescent="0.2">
      <c r="B19" s="5" t="s">
        <v>16</v>
      </c>
      <c r="C19" s="28">
        <v>1170</v>
      </c>
      <c r="D19" s="42">
        <v>1161</v>
      </c>
      <c r="E19" s="28">
        <f t="shared" si="0"/>
        <v>9</v>
      </c>
      <c r="F19" s="42">
        <v>1189</v>
      </c>
      <c r="G19" s="28">
        <f t="shared" si="1"/>
        <v>-19</v>
      </c>
      <c r="H19" s="7"/>
    </row>
    <row r="20" spans="2:8" x14ac:dyDescent="0.2">
      <c r="B20" s="5" t="s">
        <v>17</v>
      </c>
      <c r="C20" s="28">
        <v>734</v>
      </c>
      <c r="D20" s="42">
        <v>709</v>
      </c>
      <c r="E20" s="28">
        <f t="shared" si="0"/>
        <v>25</v>
      </c>
      <c r="F20" s="42">
        <v>679</v>
      </c>
      <c r="G20" s="28">
        <f t="shared" si="1"/>
        <v>55</v>
      </c>
      <c r="H20" s="7"/>
    </row>
    <row r="21" spans="2:8" x14ac:dyDescent="0.2">
      <c r="B21" s="5" t="s">
        <v>18</v>
      </c>
      <c r="C21" s="28">
        <v>521</v>
      </c>
      <c r="D21" s="42">
        <v>497</v>
      </c>
      <c r="E21" s="28">
        <f t="shared" si="0"/>
        <v>24</v>
      </c>
      <c r="F21" s="42">
        <v>473</v>
      </c>
      <c r="G21" s="28">
        <f t="shared" si="1"/>
        <v>48</v>
      </c>
      <c r="H21" s="7"/>
    </row>
    <row r="22" spans="2:8" x14ac:dyDescent="0.2">
      <c r="B22" s="5" t="s">
        <v>19</v>
      </c>
      <c r="C22" s="28">
        <v>827</v>
      </c>
      <c r="D22" s="42">
        <v>813</v>
      </c>
      <c r="E22" s="28">
        <f t="shared" si="0"/>
        <v>14</v>
      </c>
      <c r="F22" s="42">
        <v>765</v>
      </c>
      <c r="G22" s="28">
        <f t="shared" si="1"/>
        <v>62</v>
      </c>
      <c r="H22" s="7"/>
    </row>
    <row r="23" spans="2:8" x14ac:dyDescent="0.2">
      <c r="B23" s="5" t="s">
        <v>20</v>
      </c>
      <c r="C23" s="28">
        <v>322</v>
      </c>
      <c r="D23" s="42">
        <v>299</v>
      </c>
      <c r="E23" s="28">
        <f t="shared" si="0"/>
        <v>23</v>
      </c>
      <c r="F23" s="42">
        <v>297</v>
      </c>
      <c r="G23" s="28">
        <f t="shared" si="1"/>
        <v>25</v>
      </c>
      <c r="H23" s="7"/>
    </row>
    <row r="24" spans="2:8" x14ac:dyDescent="0.2">
      <c r="B24" s="5" t="s">
        <v>21</v>
      </c>
      <c r="C24" s="28">
        <v>160</v>
      </c>
      <c r="D24" s="42">
        <v>151</v>
      </c>
      <c r="E24" s="28">
        <f t="shared" si="0"/>
        <v>9</v>
      </c>
      <c r="F24" s="42">
        <v>119</v>
      </c>
      <c r="G24" s="28">
        <f t="shared" si="1"/>
        <v>41</v>
      </c>
      <c r="H24" s="7"/>
    </row>
    <row r="25" spans="2:8" x14ac:dyDescent="0.2">
      <c r="B25" s="5" t="s">
        <v>22</v>
      </c>
      <c r="C25" s="28">
        <v>404</v>
      </c>
      <c r="D25" s="42">
        <v>405</v>
      </c>
      <c r="E25" s="28">
        <f t="shared" si="0"/>
        <v>-1</v>
      </c>
      <c r="F25" s="42">
        <v>419</v>
      </c>
      <c r="G25" s="28">
        <f t="shared" si="1"/>
        <v>-15</v>
      </c>
      <c r="H25" s="7"/>
    </row>
    <row r="26" spans="2:8" x14ac:dyDescent="0.2">
      <c r="B26" s="5" t="s">
        <v>23</v>
      </c>
      <c r="C26" s="28">
        <v>921</v>
      </c>
      <c r="D26" s="42">
        <v>896</v>
      </c>
      <c r="E26" s="28">
        <f t="shared" si="0"/>
        <v>25</v>
      </c>
      <c r="F26" s="42">
        <v>969</v>
      </c>
      <c r="G26" s="28">
        <f t="shared" si="1"/>
        <v>-48</v>
      </c>
      <c r="H26" s="7"/>
    </row>
    <row r="27" spans="2:8" x14ac:dyDescent="0.2">
      <c r="B27" s="5" t="s">
        <v>24</v>
      </c>
      <c r="C27" s="28">
        <v>199</v>
      </c>
      <c r="D27" s="42">
        <v>199</v>
      </c>
      <c r="E27" s="28">
        <f t="shared" si="0"/>
        <v>0</v>
      </c>
      <c r="F27" s="42">
        <v>218</v>
      </c>
      <c r="G27" s="28">
        <f t="shared" si="1"/>
        <v>-19</v>
      </c>
      <c r="H27" s="7"/>
    </row>
    <row r="28" spans="2:8" ht="15" x14ac:dyDescent="0.25">
      <c r="B28" s="39" t="s">
        <v>25</v>
      </c>
      <c r="C28" s="48">
        <f>SUM(C3:C27)</f>
        <v>16341</v>
      </c>
      <c r="D28" s="44">
        <f>SUM(D3:D27)</f>
        <v>16095</v>
      </c>
      <c r="E28" s="48">
        <f>SUM(E3:E27)</f>
        <v>246</v>
      </c>
      <c r="F28" s="44">
        <f>SUM(F3:F27)</f>
        <v>16328</v>
      </c>
      <c r="G28" s="48">
        <f>SUM(G3:G27)</f>
        <v>13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2024-08-27T10:29:18Z</cp:lastPrinted>
  <dcterms:created xsi:type="dcterms:W3CDTF">2016-08-02T05:46:03Z</dcterms:created>
  <dcterms:modified xsi:type="dcterms:W3CDTF">2024-08-30T06:38:32Z</dcterms:modified>
</cp:coreProperties>
</file>