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170" windowWidth="20700" windowHeight="4680" tabRatio="949"/>
  </bookViews>
  <sheets>
    <sheet name="1_bezr." sheetId="1" r:id="rId1"/>
    <sheet name="1_sort" sheetId="14" r:id="rId2"/>
    <sheet name="2_kob." sheetId="10" r:id="rId3"/>
    <sheet name="2_sort" sheetId="15" r:id="rId4"/>
    <sheet name="3_s.bezr.Polska" sheetId="8" r:id="rId5"/>
    <sheet name="3_sort" sheetId="16" r:id="rId6"/>
    <sheet name="4_s.bezr.pow." sheetId="13" r:id="rId7"/>
    <sheet name="4_sort" sheetId="17" r:id="rId8"/>
    <sheet name="5_bezr. na wsi" sheetId="2" r:id="rId9"/>
    <sheet name="5_sort" sheetId="18" r:id="rId10"/>
    <sheet name="6_długot." sheetId="3" r:id="rId11"/>
    <sheet name="6_sort" sheetId="19" r:id="rId12"/>
    <sheet name="7_do 30 r.ż." sheetId="4" r:id="rId13"/>
    <sheet name="7_sort" sheetId="20" r:id="rId14"/>
    <sheet name="8_pow. 50 r.ż." sheetId="5" r:id="rId15"/>
    <sheet name="8_sort" sheetId="21" r:id="rId16"/>
    <sheet name="9_oferty p." sheetId="6" r:id="rId17"/>
    <sheet name="9_sort" sheetId="22" r:id="rId18"/>
    <sheet name="10_oferty s." sheetId="11" r:id="rId19"/>
    <sheet name="10_sort" sheetId="23" r:id="rId20"/>
  </sheets>
  <calcPr calcId="145621"/>
</workbook>
</file>

<file path=xl/calcChain.xml><?xml version="1.0" encoding="utf-8"?>
<calcChain xmlns="http://schemas.openxmlformats.org/spreadsheetml/2006/main">
  <c r="F28" i="4" l="1"/>
  <c r="E12" i="13" l="1"/>
  <c r="G12" i="13"/>
  <c r="J27" i="2" l="1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8" i="10" l="1"/>
  <c r="F28" i="3" l="1"/>
  <c r="D28" i="3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29" i="14" l="1"/>
  <c r="B4" i="14" l="1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C24" i="2"/>
  <c r="G20" i="14" l="1"/>
  <c r="E7" i="14"/>
  <c r="E18" i="14"/>
  <c r="C22" i="14"/>
  <c r="D8" i="14"/>
  <c r="E14" i="14"/>
  <c r="C29" i="14"/>
  <c r="C13" i="14"/>
  <c r="C18" i="14"/>
  <c r="G27" i="14"/>
  <c r="G11" i="14"/>
  <c r="G28" i="14"/>
  <c r="E26" i="14"/>
  <c r="E10" i="14"/>
  <c r="C25" i="14"/>
  <c r="C9" i="14"/>
  <c r="C14" i="14"/>
  <c r="G23" i="14"/>
  <c r="G7" i="14"/>
  <c r="C17" i="14"/>
  <c r="C6" i="14"/>
  <c r="G15" i="14"/>
  <c r="E22" i="14"/>
  <c r="E6" i="14"/>
  <c r="C21" i="14"/>
  <c r="C26" i="14"/>
  <c r="C10" i="14"/>
  <c r="G19" i="14"/>
  <c r="D29" i="14"/>
  <c r="D25" i="14"/>
  <c r="D21" i="14"/>
  <c r="D17" i="14"/>
  <c r="D13" i="14"/>
  <c r="D9" i="14"/>
  <c r="D5" i="14"/>
  <c r="D6" i="14"/>
  <c r="E27" i="14"/>
  <c r="E23" i="14"/>
  <c r="E19" i="14"/>
  <c r="E15" i="14"/>
  <c r="E11" i="14"/>
  <c r="E28" i="14"/>
  <c r="E24" i="14"/>
  <c r="E20" i="14"/>
  <c r="E16" i="14"/>
  <c r="E12" i="14"/>
  <c r="E8" i="14"/>
  <c r="E4" i="14"/>
  <c r="C27" i="14"/>
  <c r="C23" i="14"/>
  <c r="C19" i="14"/>
  <c r="C15" i="14"/>
  <c r="C11" i="14"/>
  <c r="C7" i="14"/>
  <c r="G12" i="14"/>
  <c r="D26" i="14"/>
  <c r="D10" i="14"/>
  <c r="E25" i="14"/>
  <c r="G24" i="14"/>
  <c r="G16" i="14"/>
  <c r="G8" i="14"/>
  <c r="G5" i="14"/>
  <c r="D22" i="14"/>
  <c r="D18" i="14"/>
  <c r="D14" i="14"/>
  <c r="D27" i="14"/>
  <c r="D23" i="14"/>
  <c r="D19" i="14"/>
  <c r="D15" i="14"/>
  <c r="D11" i="14"/>
  <c r="D7" i="14"/>
  <c r="E5" i="14"/>
  <c r="E21" i="14"/>
  <c r="E17" i="14"/>
  <c r="E13" i="14"/>
  <c r="E9" i="14"/>
  <c r="D4" i="14"/>
  <c r="C28" i="14"/>
  <c r="C24" i="14"/>
  <c r="C20" i="14"/>
  <c r="C16" i="14"/>
  <c r="C12" i="14"/>
  <c r="C8" i="14"/>
  <c r="C4" i="14"/>
  <c r="C5" i="14"/>
  <c r="G25" i="14"/>
  <c r="G21" i="14"/>
  <c r="G17" i="14"/>
  <c r="G13" i="14"/>
  <c r="G9" i="14"/>
  <c r="G26" i="14"/>
  <c r="G22" i="14"/>
  <c r="G18" i="14"/>
  <c r="G14" i="14"/>
  <c r="G10" i="14"/>
  <c r="G6" i="14"/>
  <c r="D28" i="14"/>
  <c r="D24" i="14"/>
  <c r="D20" i="14"/>
  <c r="D16" i="14"/>
  <c r="D12" i="14"/>
  <c r="E4" i="11"/>
  <c r="G4" i="11"/>
  <c r="F28" i="10" l="1"/>
  <c r="D28" i="10" l="1"/>
  <c r="G6" i="13" l="1"/>
  <c r="E6" i="13"/>
  <c r="G27" i="10" l="1"/>
  <c r="G10" i="2" l="1"/>
  <c r="B19" i="16" l="1"/>
  <c r="D28" i="6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G26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E28" i="10" l="1"/>
  <c r="G28" i="10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F29" i="17" s="1"/>
  <c r="E16" i="13"/>
  <c r="E15" i="13"/>
  <c r="E14" i="13"/>
  <c r="E13" i="13"/>
  <c r="E11" i="13"/>
  <c r="E10" i="13"/>
  <c r="E9" i="13"/>
  <c r="E8" i="13"/>
  <c r="E7" i="13"/>
  <c r="E5" i="13"/>
  <c r="F27" i="17" s="1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H30" i="17" l="1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B20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D14" i="16"/>
  <c r="E5" i="16"/>
  <c r="E13" i="16"/>
  <c r="F12" i="16"/>
  <c r="G7" i="16"/>
  <c r="H6" i="16"/>
  <c r="C14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5" i="16"/>
  <c r="C13" i="16"/>
  <c r="C20" i="16"/>
  <c r="C6" i="16"/>
  <c r="C4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D24" i="2" l="1"/>
  <c r="F28" i="1"/>
  <c r="G28" i="1" s="1"/>
  <c r="G29" i="14" l="1"/>
  <c r="G4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H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H25" i="21" s="1"/>
  <c r="G6" i="5"/>
  <c r="H26" i="21" s="1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F26" i="21" s="1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27" i="20" s="1"/>
  <c r="G5" i="4"/>
  <c r="G4" i="4"/>
  <c r="G3" i="4"/>
  <c r="H6" i="20" s="1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6" i="20" s="1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7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11" i="14"/>
  <c r="F21" i="14"/>
  <c r="F9" i="14"/>
  <c r="F10" i="14"/>
  <c r="F8" i="14"/>
  <c r="F25" i="14"/>
  <c r="F26" i="14"/>
  <c r="F25" i="20" l="1"/>
  <c r="E28" i="3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F5" i="20"/>
  <c r="H26" i="20"/>
  <c r="H25" i="20"/>
  <c r="H5" i="20"/>
  <c r="F6" i="19"/>
  <c r="F26" i="19"/>
  <c r="F20" i="19"/>
  <c r="H21" i="19"/>
  <c r="G28" i="6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E28" i="4"/>
  <c r="F28" i="20" s="1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4" i="21" l="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28" i="2" l="1"/>
  <c r="L28" i="2" s="1"/>
</calcChain>
</file>

<file path=xl/sharedStrings.xml><?xml version="1.0" encoding="utf-8"?>
<sst xmlns="http://schemas.openxmlformats.org/spreadsheetml/2006/main" count="412" uniqueCount="127">
  <si>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</si>
  <si>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</si>
  <si>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</si>
  <si>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</si>
  <si>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</si>
  <si>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</si>
  <si>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</si>
  <si>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</si>
  <si>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</si>
  <si>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</si>
  <si>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</si>
  <si>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</si>
  <si>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</si>
  <si>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</si>
  <si>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</si>
  <si>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</si>
  <si>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</si>
  <si>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</si>
  <si>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</si>
  <si>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</si>
  <si>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</si>
  <si>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</si>
  <si>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</si>
  <si>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</si>
  <si>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</si>
  <si>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</si>
  <si>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</si>
  <si>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</si>
  <si>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</si>
  <si>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</si>
  <si>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</si>
  <si>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</si>
  <si>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</si>
  <si>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</si>
  <si>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</si>
  <si>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</si>
  <si>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</si>
  <si>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</si>
  <si>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</si>
  <si>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</si>
  <si>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</si>
  <si>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</si>
  <si>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</si>
  <si>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</si>
  <si>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</si>
  <si>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</si>
  <si>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</si>
  <si>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</si>
  <si>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</si>
  <si>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</si>
  <si>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</si>
  <si>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</si>
  <si>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</si>
  <si>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</si>
  <si>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</si>
  <si>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</si>
  <si>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</si>
  <si>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</si>
  <si>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</si>
  <si>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</si>
  <si>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</si>
  <si>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</si>
  <si>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</si>
  <si>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</si>
  <si>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</si>
  <si>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</si>
  <si>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</si>
  <si>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</si>
  <si>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</si>
  <si>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</si>
  <si>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</si>
  <si>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</si>
  <si>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</si>
  <si>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</si>
  <si>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</si>
  <si>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</si>
  <si>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analogicznego okresu ubr.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</si>
  <si>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</si>
  <si>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</si>
  <si>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</si>
  <si>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</si>
  <si>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</si>
  <si>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wzrost lub spadek do analogicznego okresu ubr.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</si>
  <si>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</si>
  <si>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</si>
  <si>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</si>
  <si>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</si>
  <si>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</si>
  <si>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</si>
  <si>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</si>
  <si>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</si>
  <si>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</si>
  <si>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** GUS, BDL http://www.stat.gov.pl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</si>
  <si>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</si>
  <si>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</si>
  <si>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</si>
  <si>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</si>
  <si>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</si>
  <si>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</si>
  <si>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</si>
  <si>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liczba bezrobotnych ogółem stan na 30 VI '22 r.</t>
  </si>
  <si>
    <t>liczba bezrobotnych kobiet stan na 30 VI '22 r.</t>
  </si>
  <si>
    <t>Stopa bezrobocia stan na 30 VI '22 r. (w proc.)**</t>
  </si>
  <si>
    <t>liczba bezrobotnych zam. na wsi stan na 30 VI '22 r.</t>
  </si>
  <si>
    <t>liczba bezrobotnych pow. 12 m-cy stan na 30 VI '22 r.</t>
  </si>
  <si>
    <t>liczba bezrobotnych do 30 r. ż. stan na 30 VI '22 r.</t>
  </si>
  <si>
    <t>liczba bezrobotnych 50+ stan na 30 VI '22 r.</t>
  </si>
  <si>
    <t>liczba ofert w VI '22 r.</t>
  </si>
  <si>
    <t>liczba bezrobotnych ogółem stan na 31 VII '21 r.</t>
  </si>
  <si>
    <t>liczba bezrobotnych ogółem stan na 31 VII '22 r.</t>
  </si>
  <si>
    <t>liczba bezrobotnych kobiet stan na 31 VII '22 r.</t>
  </si>
  <si>
    <t>liczba bezrobotnych kobiet stan na 31 VII '21 r.</t>
  </si>
  <si>
    <t>Stopa bezrobocia stan na 31 VII '22 r. (w proc.)**</t>
  </si>
  <si>
    <t>Stopa bezrobocia stan na 31 VII '21 r. (w proc.) **</t>
  </si>
  <si>
    <t>Stopa bezrobocia stan na 30 VI '22 r. w proc. **</t>
  </si>
  <si>
    <t>Stopa bezrobocia stan na 31 VII '22 r. w proc.**</t>
  </si>
  <si>
    <t>Stopa bezrobocia stan na 31 VII '21 r. w proc.**</t>
  </si>
  <si>
    <t>liczba bezrobotnych zam. na wsi stan na 31 VII '22 r.</t>
  </si>
  <si>
    <t>liczba bezrobotnych zam. na wsi stan na 31 VII '21 r.</t>
  </si>
  <si>
    <t>liczba bezrobotnych pow. 12 m-cy stan na 31 VII '22 r.</t>
  </si>
  <si>
    <t>liczba bezrobotnych pow. 12 m-cy,  stan na 31 VII '21 r.</t>
  </si>
  <si>
    <t>liczba bezrobotnych do 30 r. ż. stan na 31 VII '22 r.</t>
  </si>
  <si>
    <t>liczba bezrobotnych do 30 r. ż. stan na 31 VII '21 r.</t>
  </si>
  <si>
    <t>liczba bezrobotnych 50+ stan na 31 VII '21 r.</t>
  </si>
  <si>
    <t>liczba bezrobotnych 50+ stan na 31 VII '22 r.</t>
  </si>
  <si>
    <t>liczba ofert w VII '22 r.</t>
  </si>
  <si>
    <t>liczba ofert w VII '21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</si>
</sst>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41AAC3"/>
        <bgColor theme="7" tint="0.79998168889431442"/>
      </patternFill>
    </fill>
    <fill>
      <patternFill patternType="solid">
        <fgColor theme="7" tint="0.59999389629810485"/>
        <bgColor indexed="64"/>
      </patternFill>
    </fill>
    <fill>
      <patternFill patternType="lightGray">
        <fgColor rgb="FF41AAC3"/>
        <bgColor theme="7" tint="0.59999389629810485"/>
      </patternFill>
    </fill>
    <fill>
      <patternFill patternType="solid">
        <fgColor rgb="FFEFECF4"/>
        <bgColor indexed="64"/>
      </patternFill>
    </fill>
    <fill>
      <patternFill patternType="lightGray">
        <fgColor rgb="FF41AAC3"/>
        <bgColor rgb="FFEFECF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0" fontId="1" fillId="0" borderId="0">
      <alignment horizontal="right" vertical="center"/>
    </xf>
  </cellStyleXfs>
  <cellXfs count="8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3" fontId="2" fillId="4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5" fillId="7" borderId="1" xfId="0" applyFont="1" applyFill="1" applyBorder="1"/>
    <xf numFmtId="3" fontId="6" fillId="7" borderId="1" xfId="0" applyNumberFormat="1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S7" xfId="1"/>
  </cellStyles>
  <dxfs count="0"/>
  <tableStyles count="0" defaultTableStyle="TableStyleMedium2" defaultPivotStyle="PivotStyleLight16"/>
  <colors>
    <mruColors>
      <color rgb="FF41AAC3"/>
      <color rgb="FFCCFFCC"/>
      <color rgb="FFD9FFD9"/>
      <color rgb="FF0000FF"/>
      <color rgb="FFEFECF4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w województwie podkarpackim wg powiatów</a:t>
            </a:r>
          </a:p>
        </c:rich>
      </c:tx>
      <c:layout>
        <c:manualLayout>
          <c:xMode val="edge"/>
          <c:yMode val="edge"/>
          <c:x val="0.21175836008271273"/>
          <c:y val="2.779385711987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'1_sort'!$B$1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'1_sort'!$C$4:$C$28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krośnieński</c:v>
                </c:pt>
                <c:pt idx="8">
                  <c:v>stalowowolski</c:v>
                </c:pt>
                <c:pt idx="9">
                  <c:v>sanocki</c:v>
                </c:pt>
                <c:pt idx="10">
                  <c:v>dębicki</c:v>
                </c:pt>
                <c:pt idx="11">
                  <c:v>Przemyśl</c:v>
                </c:pt>
                <c:pt idx="12">
                  <c:v>mielecki</c:v>
                </c:pt>
                <c:pt idx="13">
                  <c:v>łańcucki</c:v>
                </c:pt>
                <c:pt idx="14">
                  <c:v>ropczycko-sędziszowski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'1_sort'!$D$4:$D$28</c:f>
              <c:numCache>
                <c:formatCode>#,##0</c:formatCode>
                <c:ptCount val="25"/>
                <c:pt idx="0" formatCode="General">
                  <c:v>741</c:v>
                </c:pt>
                <c:pt idx="1">
                  <c:v>1019</c:v>
                </c:pt>
                <c:pt idx="2">
                  <c:v>1151</c:v>
                </c:pt>
                <c:pt idx="3">
                  <c:v>1311</c:v>
                </c:pt>
                <c:pt idx="4">
                  <c:v>1559</c:v>
                </c:pt>
                <c:pt idx="5">
                  <c:v>1613</c:v>
                </c:pt>
                <c:pt idx="6">
                  <c:v>1636</c:v>
                </c:pt>
                <c:pt idx="7">
                  <c:v>1859</c:v>
                </c:pt>
                <c:pt idx="8">
                  <c:v>2003</c:v>
                </c:pt>
                <c:pt idx="9">
                  <c:v>2415</c:v>
                </c:pt>
                <c:pt idx="10">
                  <c:v>2426</c:v>
                </c:pt>
                <c:pt idx="11">
                  <c:v>2513</c:v>
                </c:pt>
                <c:pt idx="12">
                  <c:v>2646</c:v>
                </c:pt>
                <c:pt idx="13">
                  <c:v>2782</c:v>
                </c:pt>
                <c:pt idx="14">
                  <c:v>2964</c:v>
                </c:pt>
                <c:pt idx="15">
                  <c:v>2975</c:v>
                </c:pt>
                <c:pt idx="16">
                  <c:v>3156</c:v>
                </c:pt>
                <c:pt idx="17">
                  <c:v>3195</c:v>
                </c:pt>
                <c:pt idx="18">
                  <c:v>3220</c:v>
                </c:pt>
                <c:pt idx="19">
                  <c:v>3501</c:v>
                </c:pt>
                <c:pt idx="20">
                  <c:v>3927</c:v>
                </c:pt>
                <c:pt idx="21">
                  <c:v>4643</c:v>
                </c:pt>
                <c:pt idx="22">
                  <c:v>4746</c:v>
                </c:pt>
                <c:pt idx="23">
                  <c:v>4884</c:v>
                </c:pt>
                <c:pt idx="24">
                  <c:v>5834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3280768"/>
        <c:axId val="203282304"/>
      </c:barChart>
      <c:catAx>
        <c:axId val="20328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282304"/>
        <c:crosses val="autoZero"/>
        <c:auto val="1"/>
        <c:lblAlgn val="ctr"/>
        <c:lblOffset val="100"/>
        <c:noMultiLvlLbl val="0"/>
      </c:catAx>
      <c:valAx>
        <c:axId val="20328230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280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093814154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'10_sort'!$B$1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'10_sort'!$C$4:$C$28</c:f>
              <c:strCache>
                <c:ptCount val="25"/>
                <c:pt idx="0">
                  <c:v>leski</c:v>
                </c:pt>
                <c:pt idx="1">
                  <c:v>bieszczadzki</c:v>
                </c:pt>
                <c:pt idx="2">
                  <c:v>przemyski</c:v>
                </c:pt>
                <c:pt idx="3">
                  <c:v>Krosno</c:v>
                </c:pt>
                <c:pt idx="4">
                  <c:v>krośnieński</c:v>
                </c:pt>
                <c:pt idx="5">
                  <c:v>lubaczowski</c:v>
                </c:pt>
                <c:pt idx="6">
                  <c:v>tarnobrzeski </c:v>
                </c:pt>
                <c:pt idx="7">
                  <c:v>leżajski</c:v>
                </c:pt>
                <c:pt idx="8">
                  <c:v>Przemyśl</c:v>
                </c:pt>
                <c:pt idx="9">
                  <c:v>rzeszowski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Tarnobrzeg</c:v>
                </c:pt>
                <c:pt idx="13">
                  <c:v>sanocki</c:v>
                </c:pt>
                <c:pt idx="14">
                  <c:v>brzozowski</c:v>
                </c:pt>
                <c:pt idx="15">
                  <c:v>kolbuszowski</c:v>
                </c:pt>
                <c:pt idx="16">
                  <c:v>niżański</c:v>
                </c:pt>
                <c:pt idx="17">
                  <c:v>dębicki</c:v>
                </c:pt>
                <c:pt idx="18">
                  <c:v>stalowowolski</c:v>
                </c:pt>
                <c:pt idx="19">
                  <c:v>strzyżowski</c:v>
                </c:pt>
                <c:pt idx="20">
                  <c:v>jasielski</c:v>
                </c:pt>
                <c:pt idx="21">
                  <c:v>przeworski</c:v>
                </c:pt>
                <c:pt idx="22">
                  <c:v>Rzeszów</c:v>
                </c:pt>
                <c:pt idx="23">
                  <c:v>jarosławski</c:v>
                </c:pt>
                <c:pt idx="24">
                  <c:v>mielecki</c:v>
                </c:pt>
              </c:strCache>
            </c:strRef>
          </c:cat>
          <c:val>
            <c:numRef>
              <c:f>'10_sort'!$D$4:$D$28</c:f>
              <c:numCache>
                <c:formatCode>#,##0</c:formatCode>
                <c:ptCount val="25"/>
                <c:pt idx="0" formatCode="General">
                  <c:v>8</c:v>
                </c:pt>
                <c:pt idx="1">
                  <c:v>16</c:v>
                </c:pt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35</c:v>
                </c:pt>
                <c:pt idx="6">
                  <c:v>42</c:v>
                </c:pt>
                <c:pt idx="7">
                  <c:v>44</c:v>
                </c:pt>
                <c:pt idx="8">
                  <c:v>48</c:v>
                </c:pt>
                <c:pt idx="9">
                  <c:v>49</c:v>
                </c:pt>
                <c:pt idx="10">
                  <c:v>52</c:v>
                </c:pt>
                <c:pt idx="11">
                  <c:v>54</c:v>
                </c:pt>
                <c:pt idx="12">
                  <c:v>54</c:v>
                </c:pt>
                <c:pt idx="13">
                  <c:v>57</c:v>
                </c:pt>
                <c:pt idx="14">
                  <c:v>61</c:v>
                </c:pt>
                <c:pt idx="15">
                  <c:v>64</c:v>
                </c:pt>
                <c:pt idx="16">
                  <c:v>64</c:v>
                </c:pt>
                <c:pt idx="17">
                  <c:v>69</c:v>
                </c:pt>
                <c:pt idx="18">
                  <c:v>70</c:v>
                </c:pt>
                <c:pt idx="19">
                  <c:v>80</c:v>
                </c:pt>
                <c:pt idx="20">
                  <c:v>90</c:v>
                </c:pt>
                <c:pt idx="21">
                  <c:v>94</c:v>
                </c:pt>
                <c:pt idx="22">
                  <c:v>94</c:v>
                </c:pt>
                <c:pt idx="23">
                  <c:v>101</c:v>
                </c:pt>
                <c:pt idx="24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5036160"/>
        <c:axId val="204489088"/>
      </c:barChart>
      <c:catAx>
        <c:axId val="20503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489088"/>
        <c:crosses val="autoZero"/>
        <c:auto val="1"/>
        <c:lblAlgn val="ctr"/>
        <c:lblOffset val="100"/>
        <c:noMultiLvlLbl val="0"/>
      </c:catAx>
      <c:valAx>
        <c:axId val="20448908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03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156363544471164"/>
          <c:y val="2.779385711987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'2_sort'!$B$1:$C$1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'2_sort'!$C$4:$C$28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leski</c:v>
                </c:pt>
                <c:pt idx="4">
                  <c:v>tarnobrzeski </c:v>
                </c:pt>
                <c:pt idx="5">
                  <c:v>lubaczowski</c:v>
                </c:pt>
                <c:pt idx="6">
                  <c:v>kolbuszowski</c:v>
                </c:pt>
                <c:pt idx="7">
                  <c:v>krośnieński</c:v>
                </c:pt>
                <c:pt idx="8">
                  <c:v>stalowowolski</c:v>
                </c:pt>
                <c:pt idx="9">
                  <c:v>sanocki</c:v>
                </c:pt>
                <c:pt idx="10">
                  <c:v>Przemyśl</c:v>
                </c:pt>
                <c:pt idx="11">
                  <c:v>mielecki</c:v>
                </c:pt>
                <c:pt idx="12">
                  <c:v>łańcucki</c:v>
                </c:pt>
                <c:pt idx="13">
                  <c:v>dębicki</c:v>
                </c:pt>
                <c:pt idx="14">
                  <c:v>przemyski</c:v>
                </c:pt>
                <c:pt idx="15">
                  <c:v>leżajski</c:v>
                </c:pt>
                <c:pt idx="16">
                  <c:v>ropczycko-sędziszowski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'2_sort'!$D$4:$D$28</c:f>
              <c:numCache>
                <c:formatCode>#,##0</c:formatCode>
                <c:ptCount val="25"/>
                <c:pt idx="0" formatCode="General">
                  <c:v>421</c:v>
                </c:pt>
                <c:pt idx="1">
                  <c:v>535</c:v>
                </c:pt>
                <c:pt idx="2">
                  <c:v>607</c:v>
                </c:pt>
                <c:pt idx="3">
                  <c:v>721</c:v>
                </c:pt>
                <c:pt idx="4">
                  <c:v>749</c:v>
                </c:pt>
                <c:pt idx="5">
                  <c:v>768</c:v>
                </c:pt>
                <c:pt idx="6">
                  <c:v>888</c:v>
                </c:pt>
                <c:pt idx="7">
                  <c:v>1065</c:v>
                </c:pt>
                <c:pt idx="8">
                  <c:v>1135</c:v>
                </c:pt>
                <c:pt idx="9">
                  <c:v>1236</c:v>
                </c:pt>
                <c:pt idx="10">
                  <c:v>1272</c:v>
                </c:pt>
                <c:pt idx="11">
                  <c:v>1412</c:v>
                </c:pt>
                <c:pt idx="12">
                  <c:v>1469</c:v>
                </c:pt>
                <c:pt idx="13">
                  <c:v>1559</c:v>
                </c:pt>
                <c:pt idx="14">
                  <c:v>1615</c:v>
                </c:pt>
                <c:pt idx="15">
                  <c:v>1643</c:v>
                </c:pt>
                <c:pt idx="16">
                  <c:v>1656</c:v>
                </c:pt>
                <c:pt idx="17">
                  <c:v>1669</c:v>
                </c:pt>
                <c:pt idx="18">
                  <c:v>1735</c:v>
                </c:pt>
                <c:pt idx="19">
                  <c:v>2021</c:v>
                </c:pt>
                <c:pt idx="20">
                  <c:v>2111</c:v>
                </c:pt>
                <c:pt idx="21">
                  <c:v>2527</c:v>
                </c:pt>
                <c:pt idx="22">
                  <c:v>2564</c:v>
                </c:pt>
                <c:pt idx="23">
                  <c:v>2839</c:v>
                </c:pt>
                <c:pt idx="24">
                  <c:v>3075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2578560"/>
        <c:axId val="202604928"/>
      </c:barChart>
      <c:catAx>
        <c:axId val="20257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2604928"/>
        <c:crosses val="autoZero"/>
        <c:auto val="1"/>
        <c:lblAlgn val="ctr"/>
        <c:lblOffset val="100"/>
        <c:noMultiLvlLbl val="0"/>
      </c:catAx>
      <c:valAx>
        <c:axId val="2026049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257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'3_sort'!$B$1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Lbls>
            <c:numFmt formatCode="#,##0.0" sourceLinked="0"/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'3_sort'!$C$4:$C$20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LUBUSKIE</c:v>
                </c:pt>
                <c:pt idx="4">
                  <c:v>MAZOWIECKIE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ŚWIĘTOKRZYSKIE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'3_sort'!$D$4:$D$20</c:f>
              <c:numCache>
                <c:formatCode>0.0</c:formatCode>
                <c:ptCount val="17"/>
                <c:pt idx="0">
                  <c:v>2.7</c:v>
                </c:pt>
                <c:pt idx="1">
                  <c:v>3.7</c:v>
                </c:pt>
                <c:pt idx="2">
                  <c:v>4.0999999999999996</c:v>
                </c:pt>
                <c:pt idx="3">
                  <c:v>4.2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4.9000000000000004</c:v>
                </c:pt>
                <c:pt idx="8">
                  <c:v>5.3</c:v>
                </c:pt>
                <c:pt idx="9">
                  <c:v>5.6</c:v>
                </c:pt>
                <c:pt idx="10">
                  <c:v>6.3</c:v>
                </c:pt>
                <c:pt idx="11">
                  <c:v>6.5</c:v>
                </c:pt>
                <c:pt idx="12">
                  <c:v>6.5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2704000"/>
        <c:axId val="202705536"/>
      </c:barChart>
      <c:catAx>
        <c:axId val="20270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2705536"/>
        <c:crosses val="autoZero"/>
        <c:auto val="1"/>
        <c:lblAlgn val="ctr"/>
        <c:lblOffset val="100"/>
        <c:noMultiLvlLbl val="0"/>
      </c:catAx>
      <c:valAx>
        <c:axId val="20270553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20270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0793711049897332"/>
          <c:y val="2.50674317138041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'4_sort'!$B$1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'4_sort'!$C$4:$C$30</c:f>
              <c:strCache>
                <c:ptCount val="27"/>
                <c:pt idx="0">
                  <c:v>Powiat m.Krosno</c:v>
                </c:pt>
                <c:pt idx="1">
                  <c:v>Powiat dębicki</c:v>
                </c:pt>
                <c:pt idx="2">
                  <c:v>Powiat mielecki</c:v>
                </c:pt>
                <c:pt idx="3">
                  <c:v>Powiat stalowowolski</c:v>
                </c:pt>
                <c:pt idx="4">
                  <c:v>Powiat m.Rzeszów</c:v>
                </c:pt>
                <c:pt idx="5">
                  <c:v>POLSKA</c:v>
                </c:pt>
                <c:pt idx="6">
                  <c:v>Powiat krośnieński</c:v>
                </c:pt>
                <c:pt idx="7">
                  <c:v>Powiat tarnobrzeski</c:v>
                </c:pt>
                <c:pt idx="8">
                  <c:v>Powiat sanocki</c:v>
                </c:pt>
                <c:pt idx="9">
                  <c:v>Powiat rzeszowski</c:v>
                </c:pt>
                <c:pt idx="10">
                  <c:v>Powiat m.Tarnobrzeg</c:v>
                </c:pt>
                <c:pt idx="11">
                  <c:v>Powiat kolbuszowski</c:v>
                </c:pt>
                <c:pt idx="12">
                  <c:v>Powiat lubaczowski</c:v>
                </c:pt>
                <c:pt idx="13">
                  <c:v>PODKARPACKIE</c:v>
                </c:pt>
                <c:pt idx="14">
                  <c:v>Powiat łańcucki</c:v>
                </c:pt>
                <c:pt idx="15">
                  <c:v>Powiat jarosławski</c:v>
                </c:pt>
                <c:pt idx="16">
                  <c:v>Powiat jasielski</c:v>
                </c:pt>
                <c:pt idx="17">
                  <c:v>Powiat m.Przemyśl</c:v>
                </c:pt>
                <c:pt idx="18">
                  <c:v>Powiat przeworski</c:v>
                </c:pt>
                <c:pt idx="19">
                  <c:v>Powiat ropczycko-sędziszowski</c:v>
                </c:pt>
                <c:pt idx="20">
                  <c:v>Powiat przemyski</c:v>
                </c:pt>
                <c:pt idx="21">
                  <c:v>Powiat leżajski</c:v>
                </c:pt>
                <c:pt idx="22">
                  <c:v>Powiat strzyżowski</c:v>
                </c:pt>
                <c:pt idx="23">
                  <c:v>Powiat bieszczadzki</c:v>
                </c:pt>
                <c:pt idx="24">
                  <c:v>Powiat leski</c:v>
                </c:pt>
                <c:pt idx="25">
                  <c:v>Powiat niżański</c:v>
                </c:pt>
                <c:pt idx="26">
                  <c:v>Powiat brzozowski</c:v>
                </c:pt>
              </c:strCache>
            </c:strRef>
          </c:cat>
          <c:val>
            <c:numRef>
              <c:f>'4_sort'!$D$4:$D$30</c:f>
              <c:numCache>
                <c:formatCode>0.0</c:formatCode>
                <c:ptCount val="27"/>
                <c:pt idx="0">
                  <c:v>2.5</c:v>
                </c:pt>
                <c:pt idx="1">
                  <c:v>3.9</c:v>
                </c:pt>
                <c:pt idx="2">
                  <c:v>4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5.7</c:v>
                </c:pt>
                <c:pt idx="8">
                  <c:v>5.9</c:v>
                </c:pt>
                <c:pt idx="9">
                  <c:v>6.5</c:v>
                </c:pt>
                <c:pt idx="10">
                  <c:v>6.7</c:v>
                </c:pt>
                <c:pt idx="11">
                  <c:v>6.8</c:v>
                </c:pt>
                <c:pt idx="12">
                  <c:v>7</c:v>
                </c:pt>
                <c:pt idx="13">
                  <c:v>7.3</c:v>
                </c:pt>
                <c:pt idx="14">
                  <c:v>8.6</c:v>
                </c:pt>
                <c:pt idx="15">
                  <c:v>8.9</c:v>
                </c:pt>
                <c:pt idx="16">
                  <c:v>9.1</c:v>
                </c:pt>
                <c:pt idx="17">
                  <c:v>9.4</c:v>
                </c:pt>
                <c:pt idx="18">
                  <c:v>10.4</c:v>
                </c:pt>
                <c:pt idx="19">
                  <c:v>10.4</c:v>
                </c:pt>
                <c:pt idx="20">
                  <c:v>10.9</c:v>
                </c:pt>
                <c:pt idx="21">
                  <c:v>11.8</c:v>
                </c:pt>
                <c:pt idx="22">
                  <c:v>12.2</c:v>
                </c:pt>
                <c:pt idx="23">
                  <c:v>12.3</c:v>
                </c:pt>
                <c:pt idx="24">
                  <c:v>13.8</c:v>
                </c:pt>
                <c:pt idx="25">
                  <c:v>13.9</c:v>
                </c:pt>
                <c:pt idx="26">
                  <c:v>14.1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4578816"/>
        <c:axId val="204580352"/>
      </c:barChart>
      <c:catAx>
        <c:axId val="204578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580352"/>
        <c:crosses val="autoZero"/>
        <c:auto val="1"/>
        <c:lblAlgn val="ctr"/>
        <c:lblOffset val="100"/>
        <c:noMultiLvlLbl val="0"/>
      </c:catAx>
      <c:valAx>
        <c:axId val="20458035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57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0666943529644546"/>
          <c:y val="6.71388037040688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'5_sort'!$C$4:$C$24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mielecki</c:v>
                </c:pt>
                <c:pt idx="5">
                  <c:v>leski</c:v>
                </c:pt>
                <c:pt idx="6">
                  <c:v>sanocki</c:v>
                </c:pt>
                <c:pt idx="7">
                  <c:v>kolbuszowski</c:v>
                </c:pt>
                <c:pt idx="8">
                  <c:v>dębicki</c:v>
                </c:pt>
                <c:pt idx="9">
                  <c:v>krośnieński</c:v>
                </c:pt>
                <c:pt idx="10">
                  <c:v>ropczycko-sędziszowski</c:v>
                </c:pt>
                <c:pt idx="11">
                  <c:v>niżański</c:v>
                </c:pt>
                <c:pt idx="12">
                  <c:v>łańcucki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jasielski</c:v>
                </c:pt>
                <c:pt idx="19">
                  <c:v>brzozowski</c:v>
                </c:pt>
                <c:pt idx="20">
                  <c:v>rzeszowski</c:v>
                </c:pt>
              </c:strCache>
            </c:strRef>
          </c:cat>
          <c:val>
            <c:numRef>
              <c:f>'5_sort'!$D$4:$D$24</c:f>
              <c:numCache>
                <c:formatCode>#,##0</c:formatCode>
                <c:ptCount val="21"/>
                <c:pt idx="0" formatCode="General">
                  <c:v>642</c:v>
                </c:pt>
                <c:pt idx="1">
                  <c:v>812</c:v>
                </c:pt>
                <c:pt idx="2">
                  <c:v>1047</c:v>
                </c:pt>
                <c:pt idx="3">
                  <c:v>1060</c:v>
                </c:pt>
                <c:pt idx="4">
                  <c:v>1246</c:v>
                </c:pt>
                <c:pt idx="5">
                  <c:v>1262</c:v>
                </c:pt>
                <c:pt idx="6">
                  <c:v>1360</c:v>
                </c:pt>
                <c:pt idx="7">
                  <c:v>1423</c:v>
                </c:pt>
                <c:pt idx="8">
                  <c:v>1431</c:v>
                </c:pt>
                <c:pt idx="9">
                  <c:v>1678</c:v>
                </c:pt>
                <c:pt idx="10">
                  <c:v>1932</c:v>
                </c:pt>
                <c:pt idx="11">
                  <c:v>2033</c:v>
                </c:pt>
                <c:pt idx="12">
                  <c:v>2175</c:v>
                </c:pt>
                <c:pt idx="13">
                  <c:v>2427</c:v>
                </c:pt>
                <c:pt idx="14">
                  <c:v>2645</c:v>
                </c:pt>
                <c:pt idx="15">
                  <c:v>2863</c:v>
                </c:pt>
                <c:pt idx="16">
                  <c:v>2872</c:v>
                </c:pt>
                <c:pt idx="17">
                  <c:v>2954</c:v>
                </c:pt>
                <c:pt idx="18">
                  <c:v>3299</c:v>
                </c:pt>
                <c:pt idx="19">
                  <c:v>3612</c:v>
                </c:pt>
                <c:pt idx="20">
                  <c:v>3921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4744960"/>
        <c:axId val="204746752"/>
      </c:barChart>
      <c:catAx>
        <c:axId val="204744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746752"/>
        <c:crosses val="autoZero"/>
        <c:auto val="1"/>
        <c:lblAlgn val="ctr"/>
        <c:lblOffset val="100"/>
        <c:noMultiLvlLbl val="0"/>
      </c:catAx>
      <c:valAx>
        <c:axId val="20474675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744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030871485350326"/>
          <c:y val="2.4319573135793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'6_sort'!$B$1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krośnieński</c:v>
                </c:pt>
                <c:pt idx="8">
                  <c:v>leski</c:v>
                </c:pt>
                <c:pt idx="9">
                  <c:v>dębicki</c:v>
                </c:pt>
                <c:pt idx="10">
                  <c:v>sanocki</c:v>
                </c:pt>
                <c:pt idx="11">
                  <c:v>mielecki</c:v>
                </c:pt>
                <c:pt idx="12">
                  <c:v>łańcucki</c:v>
                </c:pt>
                <c:pt idx="13">
                  <c:v>Przemyśl</c:v>
                </c:pt>
                <c:pt idx="14">
                  <c:v>ropczycko-sędziszowski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'6_sort'!$D$4:$D$28</c:f>
              <c:numCache>
                <c:formatCode>#,##0</c:formatCode>
                <c:ptCount val="25"/>
                <c:pt idx="0" formatCode="General">
                  <c:v>342</c:v>
                </c:pt>
                <c:pt idx="1">
                  <c:v>644</c:v>
                </c:pt>
                <c:pt idx="2">
                  <c:v>667</c:v>
                </c:pt>
                <c:pt idx="3">
                  <c:v>741</c:v>
                </c:pt>
                <c:pt idx="4">
                  <c:v>854</c:v>
                </c:pt>
                <c:pt idx="5">
                  <c:v>895</c:v>
                </c:pt>
                <c:pt idx="6">
                  <c:v>936</c:v>
                </c:pt>
                <c:pt idx="7">
                  <c:v>950</c:v>
                </c:pt>
                <c:pt idx="8">
                  <c:v>1016</c:v>
                </c:pt>
                <c:pt idx="9">
                  <c:v>1172</c:v>
                </c:pt>
                <c:pt idx="10">
                  <c:v>1243</c:v>
                </c:pt>
                <c:pt idx="11">
                  <c:v>1301</c:v>
                </c:pt>
                <c:pt idx="12">
                  <c:v>1526</c:v>
                </c:pt>
                <c:pt idx="13">
                  <c:v>1695</c:v>
                </c:pt>
                <c:pt idx="14">
                  <c:v>1772</c:v>
                </c:pt>
                <c:pt idx="15">
                  <c:v>1880</c:v>
                </c:pt>
                <c:pt idx="16">
                  <c:v>1895</c:v>
                </c:pt>
                <c:pt idx="17">
                  <c:v>2047</c:v>
                </c:pt>
                <c:pt idx="18">
                  <c:v>2160</c:v>
                </c:pt>
                <c:pt idx="19">
                  <c:v>2224</c:v>
                </c:pt>
                <c:pt idx="20">
                  <c:v>2630</c:v>
                </c:pt>
                <c:pt idx="21">
                  <c:v>2926</c:v>
                </c:pt>
                <c:pt idx="22">
                  <c:v>3121</c:v>
                </c:pt>
                <c:pt idx="23">
                  <c:v>3167</c:v>
                </c:pt>
                <c:pt idx="24">
                  <c:v>3728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4972416"/>
        <c:axId val="204973952"/>
      </c:barChart>
      <c:catAx>
        <c:axId val="20497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973952"/>
        <c:crosses val="autoZero"/>
        <c:auto val="1"/>
        <c:lblAlgn val="ctr"/>
        <c:lblOffset val="100"/>
        <c:noMultiLvlLbl val="0"/>
      </c:catAx>
      <c:valAx>
        <c:axId val="20497395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49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13871546906331211"/>
          <c:y val="1.75527506043317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'7_sort'!$C$4:$C$28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Przemyśl</c:v>
                </c:pt>
                <c:pt idx="5">
                  <c:v>lubaczowski</c:v>
                </c:pt>
                <c:pt idx="6">
                  <c:v>leski</c:v>
                </c:pt>
                <c:pt idx="7">
                  <c:v>krośnieński</c:v>
                </c:pt>
                <c:pt idx="8">
                  <c:v>kolbuszowski</c:v>
                </c:pt>
                <c:pt idx="9">
                  <c:v>stalowowolski</c:v>
                </c:pt>
                <c:pt idx="10">
                  <c:v>sanocki</c:v>
                </c:pt>
                <c:pt idx="11">
                  <c:v>mielecki</c:v>
                </c:pt>
                <c:pt idx="12">
                  <c:v>dębicki</c:v>
                </c:pt>
                <c:pt idx="13">
                  <c:v>przemyski</c:v>
                </c:pt>
                <c:pt idx="14">
                  <c:v>łańcucki</c:v>
                </c:pt>
                <c:pt idx="15">
                  <c:v>niżański</c:v>
                </c:pt>
                <c:pt idx="16">
                  <c:v>ropczycko-sędziszowski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Rzeszów</c:v>
                </c:pt>
                <c:pt idx="22">
                  <c:v>jasielski</c:v>
                </c:pt>
                <c:pt idx="23">
                  <c:v>jarosławski</c:v>
                </c:pt>
                <c:pt idx="24">
                  <c:v>rzeszowski</c:v>
                </c:pt>
              </c:strCache>
            </c:strRef>
          </c:cat>
          <c:val>
            <c:numRef>
              <c:f>'7_sort'!$D$4:$D$28</c:f>
              <c:numCache>
                <c:formatCode>#,##0</c:formatCode>
                <c:ptCount val="25"/>
                <c:pt idx="0" formatCode="General">
                  <c:v>117</c:v>
                </c:pt>
                <c:pt idx="1">
                  <c:v>197</c:v>
                </c:pt>
                <c:pt idx="2">
                  <c:v>274</c:v>
                </c:pt>
                <c:pt idx="3">
                  <c:v>328</c:v>
                </c:pt>
                <c:pt idx="4">
                  <c:v>372</c:v>
                </c:pt>
                <c:pt idx="5">
                  <c:v>400</c:v>
                </c:pt>
                <c:pt idx="6">
                  <c:v>401</c:v>
                </c:pt>
                <c:pt idx="7">
                  <c:v>404</c:v>
                </c:pt>
                <c:pt idx="8">
                  <c:v>424</c:v>
                </c:pt>
                <c:pt idx="9">
                  <c:v>484</c:v>
                </c:pt>
                <c:pt idx="10">
                  <c:v>618</c:v>
                </c:pt>
                <c:pt idx="11">
                  <c:v>632</c:v>
                </c:pt>
                <c:pt idx="12">
                  <c:v>652</c:v>
                </c:pt>
                <c:pt idx="13">
                  <c:v>745</c:v>
                </c:pt>
                <c:pt idx="14">
                  <c:v>779</c:v>
                </c:pt>
                <c:pt idx="15">
                  <c:v>812</c:v>
                </c:pt>
                <c:pt idx="16">
                  <c:v>830</c:v>
                </c:pt>
                <c:pt idx="17">
                  <c:v>848</c:v>
                </c:pt>
                <c:pt idx="18">
                  <c:v>890</c:v>
                </c:pt>
                <c:pt idx="19">
                  <c:v>962</c:v>
                </c:pt>
                <c:pt idx="20">
                  <c:v>975</c:v>
                </c:pt>
                <c:pt idx="21">
                  <c:v>1014</c:v>
                </c:pt>
                <c:pt idx="22">
                  <c:v>1064</c:v>
                </c:pt>
                <c:pt idx="23">
                  <c:v>1173</c:v>
                </c:pt>
                <c:pt idx="24">
                  <c:v>1308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5118080"/>
        <c:axId val="205410688"/>
      </c:barChart>
      <c:catAx>
        <c:axId val="20511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410688"/>
        <c:crosses val="autoZero"/>
        <c:auto val="1"/>
        <c:lblAlgn val="ctr"/>
        <c:lblOffset val="100"/>
        <c:noMultiLvlLbl val="0"/>
      </c:catAx>
      <c:valAx>
        <c:axId val="20541068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11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896317654550948"/>
          <c:y val="3.47423213998474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'8_sort'!$B$1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'8_sort'!$C$4:$C$28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tarnobrzeski </c:v>
                </c:pt>
                <c:pt idx="3">
                  <c:v>Tarnobrzeg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krośnieński</c:v>
                </c:pt>
                <c:pt idx="8">
                  <c:v>stalowowolski</c:v>
                </c:pt>
                <c:pt idx="9">
                  <c:v>dębicki</c:v>
                </c:pt>
                <c:pt idx="10">
                  <c:v>sanocki</c:v>
                </c:pt>
                <c:pt idx="11">
                  <c:v>ropczycko-sędziszowski</c:v>
                </c:pt>
                <c:pt idx="12">
                  <c:v>łańcucki</c:v>
                </c:pt>
                <c:pt idx="13">
                  <c:v>mielecki</c:v>
                </c:pt>
                <c:pt idx="14">
                  <c:v>przeworski</c:v>
                </c:pt>
                <c:pt idx="15">
                  <c:v>przemyski</c:v>
                </c:pt>
                <c:pt idx="16">
                  <c:v>leżajski</c:v>
                </c:pt>
                <c:pt idx="17">
                  <c:v>Przemyśl</c:v>
                </c:pt>
                <c:pt idx="18">
                  <c:v>strzyżowski</c:v>
                </c:pt>
                <c:pt idx="19">
                  <c:v>niżański</c:v>
                </c:pt>
                <c:pt idx="20">
                  <c:v>brzozowski</c:v>
                </c:pt>
                <c:pt idx="21">
                  <c:v>jasielski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'8_sort'!$D$4:$D$28</c:f>
              <c:numCache>
                <c:formatCode>#,##0</c:formatCode>
                <c:ptCount val="25"/>
                <c:pt idx="0" formatCode="General">
                  <c:v>182</c:v>
                </c:pt>
                <c:pt idx="1">
                  <c:v>241</c:v>
                </c:pt>
                <c:pt idx="2">
                  <c:v>344</c:v>
                </c:pt>
                <c:pt idx="3">
                  <c:v>353</c:v>
                </c:pt>
                <c:pt idx="4">
                  <c:v>380</c:v>
                </c:pt>
                <c:pt idx="5">
                  <c:v>448</c:v>
                </c:pt>
                <c:pt idx="6">
                  <c:v>453</c:v>
                </c:pt>
                <c:pt idx="7">
                  <c:v>546</c:v>
                </c:pt>
                <c:pt idx="8">
                  <c:v>565</c:v>
                </c:pt>
                <c:pt idx="9">
                  <c:v>572</c:v>
                </c:pt>
                <c:pt idx="10">
                  <c:v>591</c:v>
                </c:pt>
                <c:pt idx="11">
                  <c:v>656</c:v>
                </c:pt>
                <c:pt idx="12">
                  <c:v>681</c:v>
                </c:pt>
                <c:pt idx="13">
                  <c:v>694</c:v>
                </c:pt>
                <c:pt idx="14">
                  <c:v>710</c:v>
                </c:pt>
                <c:pt idx="15">
                  <c:v>718</c:v>
                </c:pt>
                <c:pt idx="16">
                  <c:v>721</c:v>
                </c:pt>
                <c:pt idx="17">
                  <c:v>750</c:v>
                </c:pt>
                <c:pt idx="18">
                  <c:v>758</c:v>
                </c:pt>
                <c:pt idx="19">
                  <c:v>779</c:v>
                </c:pt>
                <c:pt idx="20">
                  <c:v>997</c:v>
                </c:pt>
                <c:pt idx="21">
                  <c:v>1116</c:v>
                </c:pt>
                <c:pt idx="22">
                  <c:v>1118</c:v>
                </c:pt>
                <c:pt idx="23">
                  <c:v>1219</c:v>
                </c:pt>
                <c:pt idx="24">
                  <c:v>1571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5173888"/>
        <c:axId val="205175424"/>
      </c:barChart>
      <c:catAx>
        <c:axId val="20517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175424"/>
        <c:crosses val="autoZero"/>
        <c:auto val="1"/>
        <c:lblAlgn val="ctr"/>
        <c:lblOffset val="100"/>
        <c:noMultiLvlLbl val="0"/>
      </c:catAx>
      <c:valAx>
        <c:axId val="2051754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17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22756879057103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'9_sort'!$B$1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</c:dPt>
          <c:dPt>
            <c:idx val="9"/>
            <c:invertIfNegative val="0"/>
            <c:bubble3D val="0"/>
          </c:dPt>
          <c:dLbls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'9_sort'!$C$4:$C$28</c:f>
              <c:strCache>
                <c:ptCount val="25"/>
                <c:pt idx="0">
                  <c:v>leski</c:v>
                </c:pt>
                <c:pt idx="1">
                  <c:v>przemyski</c:v>
                </c:pt>
                <c:pt idx="2">
                  <c:v>bieszczadzki</c:v>
                </c:pt>
                <c:pt idx="3">
                  <c:v>lubaczowski</c:v>
                </c:pt>
                <c:pt idx="4">
                  <c:v>krośnieński</c:v>
                </c:pt>
                <c:pt idx="5">
                  <c:v>Krosno</c:v>
                </c:pt>
                <c:pt idx="6">
                  <c:v>brzozowski</c:v>
                </c:pt>
                <c:pt idx="7">
                  <c:v>łańcucki</c:v>
                </c:pt>
                <c:pt idx="8">
                  <c:v>niżański</c:v>
                </c:pt>
                <c:pt idx="9">
                  <c:v>Przemyśl</c:v>
                </c:pt>
                <c:pt idx="10">
                  <c:v>sanocki</c:v>
                </c:pt>
                <c:pt idx="11">
                  <c:v>leżajski</c:v>
                </c:pt>
                <c:pt idx="12">
                  <c:v>kolbuszowski</c:v>
                </c:pt>
                <c:pt idx="13">
                  <c:v>Tarnobrzeg</c:v>
                </c:pt>
                <c:pt idx="14">
                  <c:v>stalowowolski</c:v>
                </c:pt>
                <c:pt idx="15">
                  <c:v>ropczycko-sędziszowski</c:v>
                </c:pt>
                <c:pt idx="16">
                  <c:v>jarosławski</c:v>
                </c:pt>
                <c:pt idx="17">
                  <c:v>jasielski</c:v>
                </c:pt>
                <c:pt idx="18">
                  <c:v>przeworski</c:v>
                </c:pt>
                <c:pt idx="19">
                  <c:v>strzyżowski</c:v>
                </c:pt>
                <c:pt idx="20">
                  <c:v>rzeszowski</c:v>
                </c:pt>
                <c:pt idx="21">
                  <c:v>tarnobrzeski 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'9_sort'!$D$4:$D$28</c:f>
              <c:numCache>
                <c:formatCode>#,##0</c:formatCode>
                <c:ptCount val="25"/>
                <c:pt idx="0" formatCode="General">
                  <c:v>22</c:v>
                </c:pt>
                <c:pt idx="1">
                  <c:v>30</c:v>
                </c:pt>
                <c:pt idx="2">
                  <c:v>36</c:v>
                </c:pt>
                <c:pt idx="3">
                  <c:v>55</c:v>
                </c:pt>
                <c:pt idx="4">
                  <c:v>58</c:v>
                </c:pt>
                <c:pt idx="5">
                  <c:v>66</c:v>
                </c:pt>
                <c:pt idx="6">
                  <c:v>70</c:v>
                </c:pt>
                <c:pt idx="7">
                  <c:v>83</c:v>
                </c:pt>
                <c:pt idx="8">
                  <c:v>87</c:v>
                </c:pt>
                <c:pt idx="9">
                  <c:v>89</c:v>
                </c:pt>
                <c:pt idx="10">
                  <c:v>96</c:v>
                </c:pt>
                <c:pt idx="11">
                  <c:v>104</c:v>
                </c:pt>
                <c:pt idx="12">
                  <c:v>125</c:v>
                </c:pt>
                <c:pt idx="13">
                  <c:v>140</c:v>
                </c:pt>
                <c:pt idx="14">
                  <c:v>143</c:v>
                </c:pt>
                <c:pt idx="15">
                  <c:v>159</c:v>
                </c:pt>
                <c:pt idx="16">
                  <c:v>173</c:v>
                </c:pt>
                <c:pt idx="17">
                  <c:v>178</c:v>
                </c:pt>
                <c:pt idx="18">
                  <c:v>178</c:v>
                </c:pt>
                <c:pt idx="19">
                  <c:v>179</c:v>
                </c:pt>
                <c:pt idx="20">
                  <c:v>183</c:v>
                </c:pt>
                <c:pt idx="21">
                  <c:v>195</c:v>
                </c:pt>
                <c:pt idx="22">
                  <c:v>360</c:v>
                </c:pt>
                <c:pt idx="23">
                  <c:v>419</c:v>
                </c:pt>
                <c:pt idx="24">
                  <c:v>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5344768"/>
        <c:axId val="205346304"/>
      </c:barChart>
      <c:catAx>
        <c:axId val="20534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346304"/>
        <c:crosses val="autoZero"/>
        <c:auto val="1"/>
        <c:lblAlgn val="ctr"/>
        <c:lblOffset val="100"/>
        <c:noMultiLvlLbl val="0"/>
      </c:catAx>
      <c:valAx>
        <c:axId val="20534630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534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188594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41275</xdr:colOff>
      <xdr:row>1</xdr:row>
      <xdr:rowOff>81491</xdr:rowOff>
    </xdr:from>
    <xdr:to>
      <xdr:col>19</xdr:col>
      <xdr:colOff>116418</xdr:colOff>
      <xdr:row>16</xdr:row>
      <xdr:rowOff>146050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/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17</xdr:row>
      <xdr:rowOff>49743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21165</xdr:colOff>
      <xdr:row>1</xdr:row>
      <xdr:rowOff>210609</xdr:rowOff>
    </xdr:from>
    <xdr:to>
      <xdr:col>18</xdr:col>
      <xdr:colOff>153459</xdr:colOff>
      <xdr:row>18</xdr:row>
      <xdr:rowOff>8468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3175</xdr:rowOff>
    </xdr:from>
    <xdr:to>
      <xdr:col>18</xdr:col>
      <xdr:colOff>190501</xdr:colOff>
      <xdr:row>19</xdr:row>
      <xdr:rowOff>116417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796925</xdr:colOff>
      <xdr:row>2</xdr:row>
      <xdr:rowOff>3175</xdr:rowOff>
    </xdr:from>
    <xdr:to>
      <xdr:col>16</xdr:col>
      <xdr:colOff>444500</xdr:colOff>
      <xdr:row>18</xdr:row>
      <xdr:rowOff>14818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52917</xdr:colOff>
      <xdr:row>2</xdr:row>
      <xdr:rowOff>21167</xdr:rowOff>
    </xdr:from>
    <xdr:to>
      <xdr:col>18</xdr:col>
      <xdr:colOff>412749</xdr:colOff>
      <xdr:row>17</xdr:row>
      <xdr:rowOff>28576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16</xdr:row>
      <xdr:rowOff>45509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19</xdr:col>
      <xdr:colOff>168275</xdr:colOff>
      <xdr:row>18</xdr:row>
      <xdr:rowOff>29633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/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1</xdr:row>
      <xdr:rowOff>223309</xdr:rowOff>
    </xdr:from>
    <xdr:to>
      <xdr:col>19</xdr:col>
      <xdr:colOff>15876</xdr:colOff>
      <xdr:row>19</xdr:row>
      <xdr:rowOff>21168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G29"/>
  <sheetViews>
    <sheetView tabSelected="1" zoomScaleNormal="10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4.42578125" style="3" customWidth="1"/>
    <col min="4" max="4" width="15.28515625" style="3" customWidth="1"/>
    <col min="5" max="5" width="17.42578125" style="3" customWidth="1"/>
    <col min="6" max="6" width="14.7109375" style="3" customWidth="1"/>
    <col min="7" max="7" width="17.42578125" style="3" customWidth="1"/>
    <col min="8" max="8" width="6.28515625" style="3" customWidth="1"/>
    <col min="9" max="16384" width="9.140625" style="3"/>
  </cols>
  <sheetData>
    <row r="1" spans="2:7" ht="17.25" customHeight="1" x14ac:dyDescent="0.2">
      <c r="B1" s="1" t="s">
        <v>32</v>
      </c>
      <c r="C1" s="26"/>
      <c r="D1" s="26"/>
      <c r="E1" s="26"/>
      <c r="F1" s="26"/>
      <c r="G1" s="26"/>
    </row>
    <row r="2" spans="2:7" ht="57" x14ac:dyDescent="0.2">
      <c r="B2" s="5" t="s">
        <v>27</v>
      </c>
      <c r="C2" s="6" t="s">
        <v>109</v>
      </c>
      <c r="D2" s="7" t="s">
        <v>100</v>
      </c>
      <c r="E2" s="6" t="s">
        <v>77</v>
      </c>
      <c r="F2" s="7" t="s">
        <v>108</v>
      </c>
      <c r="G2" s="6" t="s">
        <v>26</v>
      </c>
    </row>
    <row r="3" spans="2:7" x14ac:dyDescent="0.2">
      <c r="B3" s="8" t="s">
        <v>0</v>
      </c>
      <c r="C3" s="10">
        <v>1019</v>
      </c>
      <c r="D3" s="9">
        <v>1033</v>
      </c>
      <c r="E3" s="10">
        <f>SUM(C3)-D3</f>
        <v>-14</v>
      </c>
      <c r="F3" s="9">
        <v>1143</v>
      </c>
      <c r="G3" s="10">
        <f>SUM(C3)-F3</f>
        <v>-124</v>
      </c>
    </row>
    <row r="4" spans="2:7" x14ac:dyDescent="0.2">
      <c r="B4" s="8" t="s">
        <v>1</v>
      </c>
      <c r="C4" s="10">
        <v>3927</v>
      </c>
      <c r="D4" s="9">
        <v>3904</v>
      </c>
      <c r="E4" s="10">
        <f t="shared" ref="E4:E27" si="0">SUM(C4)-D4</f>
        <v>23</v>
      </c>
      <c r="F4" s="9">
        <v>4030</v>
      </c>
      <c r="G4" s="10">
        <f t="shared" ref="G4:G27" si="1">SUM(C4)-F4</f>
        <v>-103</v>
      </c>
    </row>
    <row r="5" spans="2:7" x14ac:dyDescent="0.2">
      <c r="B5" s="8" t="s">
        <v>2</v>
      </c>
      <c r="C5" s="10">
        <v>2426</v>
      </c>
      <c r="D5" s="9">
        <v>2394</v>
      </c>
      <c r="E5" s="10">
        <f t="shared" si="0"/>
        <v>32</v>
      </c>
      <c r="F5" s="9">
        <v>2977</v>
      </c>
      <c r="G5" s="10">
        <f t="shared" si="1"/>
        <v>-551</v>
      </c>
    </row>
    <row r="6" spans="2:7" x14ac:dyDescent="0.2">
      <c r="B6" s="8" t="s">
        <v>3</v>
      </c>
      <c r="C6" s="10">
        <v>4643</v>
      </c>
      <c r="D6" s="9">
        <v>4646</v>
      </c>
      <c r="E6" s="10">
        <f t="shared" si="0"/>
        <v>-3</v>
      </c>
      <c r="F6" s="9">
        <v>5729</v>
      </c>
      <c r="G6" s="10">
        <f t="shared" si="1"/>
        <v>-1086</v>
      </c>
    </row>
    <row r="7" spans="2:7" x14ac:dyDescent="0.2">
      <c r="B7" s="8" t="s">
        <v>4</v>
      </c>
      <c r="C7" s="10">
        <v>4746</v>
      </c>
      <c r="D7" s="9">
        <v>4770</v>
      </c>
      <c r="E7" s="10">
        <f t="shared" si="0"/>
        <v>-24</v>
      </c>
      <c r="F7" s="9">
        <v>5533</v>
      </c>
      <c r="G7" s="10">
        <f t="shared" si="1"/>
        <v>-787</v>
      </c>
    </row>
    <row r="8" spans="2:7" x14ac:dyDescent="0.2">
      <c r="B8" s="8" t="s">
        <v>5</v>
      </c>
      <c r="C8" s="10">
        <v>1636</v>
      </c>
      <c r="D8" s="9">
        <v>1621</v>
      </c>
      <c r="E8" s="10">
        <f t="shared" si="0"/>
        <v>15</v>
      </c>
      <c r="F8" s="9">
        <v>1816</v>
      </c>
      <c r="G8" s="10">
        <f t="shared" si="1"/>
        <v>-180</v>
      </c>
    </row>
    <row r="9" spans="2:7" x14ac:dyDescent="0.2">
      <c r="B9" s="13" t="s">
        <v>6</v>
      </c>
      <c r="C9" s="10">
        <v>1859</v>
      </c>
      <c r="D9" s="9">
        <v>1824</v>
      </c>
      <c r="E9" s="10">
        <f t="shared" si="0"/>
        <v>35</v>
      </c>
      <c r="F9" s="9">
        <v>2219</v>
      </c>
      <c r="G9" s="10">
        <f t="shared" si="1"/>
        <v>-360</v>
      </c>
    </row>
    <row r="10" spans="2:7" x14ac:dyDescent="0.2">
      <c r="B10" s="8" t="s">
        <v>7</v>
      </c>
      <c r="C10" s="10">
        <v>1559</v>
      </c>
      <c r="D10" s="9">
        <v>1560</v>
      </c>
      <c r="E10" s="10">
        <f t="shared" si="0"/>
        <v>-1</v>
      </c>
      <c r="F10" s="9">
        <v>1575</v>
      </c>
      <c r="G10" s="10">
        <f t="shared" si="1"/>
        <v>-16</v>
      </c>
    </row>
    <row r="11" spans="2:7" x14ac:dyDescent="0.2">
      <c r="B11" s="8" t="s">
        <v>8</v>
      </c>
      <c r="C11" s="10">
        <v>3195</v>
      </c>
      <c r="D11" s="9">
        <v>3283</v>
      </c>
      <c r="E11" s="10">
        <f t="shared" si="0"/>
        <v>-88</v>
      </c>
      <c r="F11" s="9">
        <v>3740</v>
      </c>
      <c r="G11" s="10">
        <f t="shared" si="1"/>
        <v>-545</v>
      </c>
    </row>
    <row r="12" spans="2:7" x14ac:dyDescent="0.2">
      <c r="B12" s="8" t="s">
        <v>9</v>
      </c>
      <c r="C12" s="10">
        <v>1613</v>
      </c>
      <c r="D12" s="9">
        <v>1669</v>
      </c>
      <c r="E12" s="10">
        <f t="shared" si="0"/>
        <v>-56</v>
      </c>
      <c r="F12" s="9">
        <v>1957</v>
      </c>
      <c r="G12" s="10">
        <f t="shared" si="1"/>
        <v>-344</v>
      </c>
    </row>
    <row r="13" spans="2:7" x14ac:dyDescent="0.2">
      <c r="B13" s="8" t="s">
        <v>10</v>
      </c>
      <c r="C13" s="10">
        <v>2782</v>
      </c>
      <c r="D13" s="9">
        <v>2858</v>
      </c>
      <c r="E13" s="10">
        <f t="shared" si="0"/>
        <v>-76</v>
      </c>
      <c r="F13" s="9">
        <v>3437</v>
      </c>
      <c r="G13" s="10">
        <f t="shared" si="1"/>
        <v>-655</v>
      </c>
    </row>
    <row r="14" spans="2:7" x14ac:dyDescent="0.2">
      <c r="B14" s="8" t="s">
        <v>11</v>
      </c>
      <c r="C14" s="10">
        <v>2646</v>
      </c>
      <c r="D14" s="9">
        <v>2520</v>
      </c>
      <c r="E14" s="10">
        <f t="shared" si="0"/>
        <v>126</v>
      </c>
      <c r="F14" s="9">
        <v>3218</v>
      </c>
      <c r="G14" s="10">
        <f t="shared" si="1"/>
        <v>-572</v>
      </c>
    </row>
    <row r="15" spans="2:7" x14ac:dyDescent="0.2">
      <c r="B15" s="8" t="s">
        <v>12</v>
      </c>
      <c r="C15" s="10">
        <v>3156</v>
      </c>
      <c r="D15" s="9">
        <v>3137</v>
      </c>
      <c r="E15" s="10">
        <f t="shared" si="0"/>
        <v>19</v>
      </c>
      <c r="F15" s="9">
        <v>3450</v>
      </c>
      <c r="G15" s="10">
        <f t="shared" si="1"/>
        <v>-294</v>
      </c>
    </row>
    <row r="16" spans="2:7" x14ac:dyDescent="0.2">
      <c r="B16" s="8" t="s">
        <v>13</v>
      </c>
      <c r="C16" s="10">
        <v>2975</v>
      </c>
      <c r="D16" s="9">
        <v>3068</v>
      </c>
      <c r="E16" s="10">
        <f t="shared" si="0"/>
        <v>-93</v>
      </c>
      <c r="F16" s="9">
        <v>3513</v>
      </c>
      <c r="G16" s="10">
        <f t="shared" si="1"/>
        <v>-538</v>
      </c>
    </row>
    <row r="17" spans="2:7" x14ac:dyDescent="0.2">
      <c r="B17" s="8" t="s">
        <v>14</v>
      </c>
      <c r="C17" s="10">
        <v>3501</v>
      </c>
      <c r="D17" s="9">
        <v>3498</v>
      </c>
      <c r="E17" s="10">
        <f t="shared" si="0"/>
        <v>3</v>
      </c>
      <c r="F17" s="9">
        <v>3839</v>
      </c>
      <c r="G17" s="10">
        <f t="shared" si="1"/>
        <v>-338</v>
      </c>
    </row>
    <row r="18" spans="2:7" x14ac:dyDescent="0.2">
      <c r="B18" s="8" t="s">
        <v>15</v>
      </c>
      <c r="C18" s="10">
        <v>2964</v>
      </c>
      <c r="D18" s="9">
        <v>2974</v>
      </c>
      <c r="E18" s="10">
        <f t="shared" si="0"/>
        <v>-10</v>
      </c>
      <c r="F18" s="9">
        <v>3319</v>
      </c>
      <c r="G18" s="10">
        <f t="shared" si="1"/>
        <v>-355</v>
      </c>
    </row>
    <row r="19" spans="2:7" x14ac:dyDescent="0.2">
      <c r="B19" s="8" t="s">
        <v>16</v>
      </c>
      <c r="C19" s="10">
        <v>4884</v>
      </c>
      <c r="D19" s="9">
        <v>4947</v>
      </c>
      <c r="E19" s="10">
        <f t="shared" si="0"/>
        <v>-63</v>
      </c>
      <c r="F19" s="9">
        <v>6172</v>
      </c>
      <c r="G19" s="10">
        <f t="shared" si="1"/>
        <v>-1288</v>
      </c>
    </row>
    <row r="20" spans="2:7" x14ac:dyDescent="0.2">
      <c r="B20" s="8" t="s">
        <v>17</v>
      </c>
      <c r="C20" s="10">
        <v>2415</v>
      </c>
      <c r="D20" s="9">
        <v>2379</v>
      </c>
      <c r="E20" s="10">
        <f t="shared" si="0"/>
        <v>36</v>
      </c>
      <c r="F20" s="9">
        <v>2625</v>
      </c>
      <c r="G20" s="10">
        <f t="shared" si="1"/>
        <v>-210</v>
      </c>
    </row>
    <row r="21" spans="2:7" x14ac:dyDescent="0.2">
      <c r="B21" s="8" t="s">
        <v>18</v>
      </c>
      <c r="C21" s="10">
        <v>2003</v>
      </c>
      <c r="D21" s="9">
        <v>1948</v>
      </c>
      <c r="E21" s="10">
        <f t="shared" si="0"/>
        <v>55</v>
      </c>
      <c r="F21" s="9">
        <v>2371</v>
      </c>
      <c r="G21" s="10">
        <f t="shared" si="1"/>
        <v>-368</v>
      </c>
    </row>
    <row r="22" spans="2:7" x14ac:dyDescent="0.2">
      <c r="B22" s="8" t="s">
        <v>19</v>
      </c>
      <c r="C22" s="10">
        <v>3220</v>
      </c>
      <c r="D22" s="9">
        <v>3233</v>
      </c>
      <c r="E22" s="10">
        <f t="shared" si="0"/>
        <v>-13</v>
      </c>
      <c r="F22" s="9">
        <v>3621</v>
      </c>
      <c r="G22" s="10">
        <f t="shared" si="1"/>
        <v>-401</v>
      </c>
    </row>
    <row r="23" spans="2:7" x14ac:dyDescent="0.2">
      <c r="B23" s="8" t="s">
        <v>20</v>
      </c>
      <c r="C23" s="10">
        <v>1311</v>
      </c>
      <c r="D23" s="9">
        <v>1407</v>
      </c>
      <c r="E23" s="10">
        <f t="shared" si="0"/>
        <v>-96</v>
      </c>
      <c r="F23" s="9">
        <v>1639</v>
      </c>
      <c r="G23" s="10">
        <f t="shared" si="1"/>
        <v>-328</v>
      </c>
    </row>
    <row r="24" spans="2:7" x14ac:dyDescent="0.2">
      <c r="B24" s="8" t="s">
        <v>21</v>
      </c>
      <c r="C24" s="10">
        <v>741</v>
      </c>
      <c r="D24" s="9">
        <v>734</v>
      </c>
      <c r="E24" s="10">
        <f t="shared" si="0"/>
        <v>7</v>
      </c>
      <c r="F24" s="9">
        <v>835</v>
      </c>
      <c r="G24" s="10">
        <f t="shared" si="1"/>
        <v>-94</v>
      </c>
    </row>
    <row r="25" spans="2:7" x14ac:dyDescent="0.2">
      <c r="B25" s="8" t="s">
        <v>22</v>
      </c>
      <c r="C25" s="10">
        <v>2513</v>
      </c>
      <c r="D25" s="9">
        <v>2593</v>
      </c>
      <c r="E25" s="10">
        <f t="shared" si="0"/>
        <v>-80</v>
      </c>
      <c r="F25" s="9">
        <v>2977</v>
      </c>
      <c r="G25" s="10">
        <f t="shared" si="1"/>
        <v>-464</v>
      </c>
    </row>
    <row r="26" spans="2:7" x14ac:dyDescent="0.2">
      <c r="B26" s="8" t="s">
        <v>23</v>
      </c>
      <c r="C26" s="10">
        <v>5834</v>
      </c>
      <c r="D26" s="9">
        <v>5823</v>
      </c>
      <c r="E26" s="10">
        <f t="shared" si="0"/>
        <v>11</v>
      </c>
      <c r="F26" s="9">
        <v>7101</v>
      </c>
      <c r="G26" s="10">
        <f t="shared" si="1"/>
        <v>-1267</v>
      </c>
    </row>
    <row r="27" spans="2:7" x14ac:dyDescent="0.2">
      <c r="B27" s="8" t="s">
        <v>24</v>
      </c>
      <c r="C27" s="10">
        <v>1151</v>
      </c>
      <c r="D27" s="9">
        <v>1193</v>
      </c>
      <c r="E27" s="10">
        <f t="shared" si="0"/>
        <v>-42</v>
      </c>
      <c r="F27" s="9">
        <v>1493</v>
      </c>
      <c r="G27" s="10">
        <f t="shared" si="1"/>
        <v>-342</v>
      </c>
    </row>
    <row r="28" spans="2:7" ht="15" x14ac:dyDescent="0.25">
      <c r="B28" s="27" t="s">
        <v>25</v>
      </c>
      <c r="C28" s="28">
        <f>SUM(C3:C27)</f>
        <v>68719</v>
      </c>
      <c r="D28" s="29">
        <f>SUM(D3:D27)</f>
        <v>69016</v>
      </c>
      <c r="E28" s="28">
        <f>SUM(C28)-D28</f>
        <v>-297</v>
      </c>
      <c r="F28" s="29">
        <f>SUM(F3:F27)</f>
        <v>80329</v>
      </c>
      <c r="G28" s="28">
        <f>SUM(C28)-F28</f>
        <v>-11610</v>
      </c>
    </row>
    <row r="29" spans="2:7" x14ac:dyDescent="0.2">
      <c r="E29" s="30"/>
      <c r="G29" s="30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5"/>
  <sheetViews>
    <sheetView zoomScale="90" zoomScaleNormal="9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3.8554687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31"/>
      <c r="D2" s="32"/>
    </row>
    <row r="3" spans="1:8" ht="71.25" x14ac:dyDescent="0.2">
      <c r="B3" s="33" t="s">
        <v>88</v>
      </c>
      <c r="C3" s="5" t="str">
        <f>T('2_kob.'!B2)</f>
        <v>powiaty</v>
      </c>
      <c r="D3" s="5" t="str">
        <f>T('2_kob.'!C2)</f>
        <v>liczba bezrobotnych kobiet stan na 31 VII '22 r.</v>
      </c>
      <c r="E3" s="5" t="str">
        <f>T('2_kob.'!D2)</f>
        <v>liczba bezrobotnych kobiet stan na 30 VI '22 r.</v>
      </c>
      <c r="F3" s="5" t="str">
        <f>T('2_kob.'!E2)</f>
        <v>wzrost/spadek do poprzedniego  miesiąca</v>
      </c>
      <c r="G3" s="5" t="str">
        <f>T('2_kob.'!F2)</f>
        <v>liczba bezrobotnych kobiet stan na 31 VII '21 r.</v>
      </c>
      <c r="H3" s="5" t="str">
        <f>T('2_kob.'!G2)</f>
        <v>wzrost/spadek do analogicznego okresu ubr.</v>
      </c>
    </row>
    <row r="4" spans="1:8" x14ac:dyDescent="0.2">
      <c r="A4" s="3">
        <v>1</v>
      </c>
      <c r="B4" s="10">
        <f>RANK('5_bezr. na wsi'!C3,'5_bezr. na wsi'!$C$3:'5_bezr. na wsi'!$C$28,1)+COUNTIF('5_bezr. na wsi'!$C$3:'5_bezr. na wsi'!C3,'5_bezr. na wsi'!C3)-1</f>
        <v>1</v>
      </c>
      <c r="C4" s="8" t="str">
        <f>INDEX('5_bezr. na wsi'!B3:G28,MATCH(1,B4:B25,0),1)</f>
        <v>bieszczadzki</v>
      </c>
      <c r="D4" s="39">
        <f>INDEX('5_bezr. na wsi'!B3:G28,MATCH(1,B4:B25,0),2)</f>
        <v>642</v>
      </c>
      <c r="E4" s="9">
        <f>INDEX('5_bezr. na wsi'!B3:G28,MATCH(1,B4:B25,0),3)</f>
        <v>652</v>
      </c>
      <c r="F4" s="10">
        <f>INDEX('5_bezr. na wsi'!B3:G28,MATCH(1,B4:B25,0),4)</f>
        <v>-10</v>
      </c>
      <c r="G4" s="9">
        <f>INDEX('5_bezr. na wsi'!B3:G28,MATCH(1,B4:B25,0),5)</f>
        <v>697</v>
      </c>
      <c r="H4" s="10">
        <f>INDEX('5_bezr. na wsi'!B3:G28,MATCH(1,B4:B25,0),6)</f>
        <v>-55</v>
      </c>
    </row>
    <row r="5" spans="1:8" x14ac:dyDescent="0.2">
      <c r="A5" s="3">
        <v>2</v>
      </c>
      <c r="B5" s="10">
        <f>RANK('5_bezr. na wsi'!C4,'5_bezr. na wsi'!$C$3:'5_bezr. na wsi'!$C$28,1)+COUNTIF('5_bezr. na wsi'!$C$3:'5_bezr. na wsi'!C4,'5_bezr. na wsi'!C4)-1</f>
        <v>20</v>
      </c>
      <c r="C5" s="8" t="str">
        <f>INDEX('5_bezr. na wsi'!B3:G28,MATCH(2,B4:B25,0),1)</f>
        <v>stalowowolski</v>
      </c>
      <c r="D5" s="10">
        <f>INDEX('5_bezr. na wsi'!B3:G28,MATCH(2,B4:B25,0),2)</f>
        <v>812</v>
      </c>
      <c r="E5" s="9">
        <f>INDEX('5_bezr. na wsi'!B3:G28,MATCH(2,B4:B25,0),3)</f>
        <v>763</v>
      </c>
      <c r="F5" s="10">
        <f>INDEX('5_bezr. na wsi'!B3:G28,MATCH(2,B4:B25,0),4)</f>
        <v>49</v>
      </c>
      <c r="G5" s="9">
        <f>INDEX('5_bezr. na wsi'!B3:G28,MATCH(2,B4:B25,0),5)</f>
        <v>933</v>
      </c>
      <c r="H5" s="10">
        <f>INDEX('5_bezr. na wsi'!B3:G28,MATCH(2,B4:B25,0),6)</f>
        <v>-121</v>
      </c>
    </row>
    <row r="6" spans="1:8" x14ac:dyDescent="0.2">
      <c r="A6" s="3">
        <v>3</v>
      </c>
      <c r="B6" s="10">
        <f>RANK('5_bezr. na wsi'!C5,'5_bezr. na wsi'!$C$3:'5_bezr. na wsi'!$C$28,1)+COUNTIF('5_bezr. na wsi'!$C$3:'5_bezr. na wsi'!C5,'5_bezr. na wsi'!C5)-1</f>
        <v>9</v>
      </c>
      <c r="C6" s="8" t="str">
        <f>INDEX('5_bezr. na wsi'!B3:G28,MATCH(3,B4:B25,0),1)</f>
        <v>lubaczowski</v>
      </c>
      <c r="D6" s="10">
        <f>INDEX('5_bezr. na wsi'!B3:G28,MATCH(3,B4:B25,0),2)</f>
        <v>1047</v>
      </c>
      <c r="E6" s="9">
        <f>INDEX('5_bezr. na wsi'!B3:G28,MATCH(3,B4:B25,0),3)</f>
        <v>1081</v>
      </c>
      <c r="F6" s="10">
        <f>INDEX('5_bezr. na wsi'!B3:G28,MATCH(3,B4:B25,0),4)</f>
        <v>-34</v>
      </c>
      <c r="G6" s="9">
        <f>INDEX('5_bezr. na wsi'!B3:G28,MATCH(3,B4:B25,0),5)</f>
        <v>1254</v>
      </c>
      <c r="H6" s="10">
        <f>INDEX('5_bezr. na wsi'!B3:G28,MATCH(3,B4:B25,0),6)</f>
        <v>-207</v>
      </c>
    </row>
    <row r="7" spans="1:8" x14ac:dyDescent="0.2">
      <c r="A7" s="3">
        <v>4</v>
      </c>
      <c r="B7" s="10">
        <f>RANK('5_bezr. na wsi'!C6,'5_bezr. na wsi'!$C$3:'5_bezr. na wsi'!$C$28,1)+COUNTIF('5_bezr. na wsi'!$C$3:'5_bezr. na wsi'!C6,'5_bezr. na wsi'!C6)-1</f>
        <v>16</v>
      </c>
      <c r="C7" s="8" t="str">
        <f>INDEX('5_bezr. na wsi'!B3:G28,MATCH(4,B4:B25,0),1)</f>
        <v xml:space="preserve">tarnobrzeski </v>
      </c>
      <c r="D7" s="10">
        <f>INDEX('5_bezr. na wsi'!B3:G28,MATCH(4,B4:B25,0),2)</f>
        <v>1060</v>
      </c>
      <c r="E7" s="9">
        <f>INDEX('5_bezr. na wsi'!B3:G28,MATCH(4,B4:B25,0),3)</f>
        <v>1136</v>
      </c>
      <c r="F7" s="10">
        <f>INDEX('5_bezr. na wsi'!B3:G28,MATCH(4,B4:B25,0),4)</f>
        <v>-76</v>
      </c>
      <c r="G7" s="9">
        <f>INDEX('5_bezr. na wsi'!B3:G28,MATCH(4,B4:B25,0),5)</f>
        <v>1327</v>
      </c>
      <c r="H7" s="10">
        <f>INDEX('5_bezr. na wsi'!B3:G28,MATCH(4,B4:B25,0),6)</f>
        <v>-267</v>
      </c>
    </row>
    <row r="8" spans="1:8" x14ac:dyDescent="0.2">
      <c r="A8" s="3">
        <v>5</v>
      </c>
      <c r="B8" s="10">
        <f>RANK('5_bezr. na wsi'!C7,'5_bezr. na wsi'!$C$3:'5_bezr. na wsi'!$C$28,1)+COUNTIF('5_bezr. na wsi'!$C$3:'5_bezr. na wsi'!C7,'5_bezr. na wsi'!C7)-1</f>
        <v>19</v>
      </c>
      <c r="C8" s="8" t="str">
        <f>INDEX('5_bezr. na wsi'!B3:G28,MATCH(5,B4:B25,0),1)</f>
        <v>mielecki</v>
      </c>
      <c r="D8" s="10">
        <f>INDEX('5_bezr. na wsi'!B3:G28,MATCH(5,B4:B25,0),2)</f>
        <v>1246</v>
      </c>
      <c r="E8" s="9">
        <f>INDEX('5_bezr. na wsi'!B3:G28,MATCH(5,B4:B25,0),3)</f>
        <v>1205</v>
      </c>
      <c r="F8" s="10">
        <f>INDEX('5_bezr. na wsi'!B3:G28,MATCH(5,B4:B25,0),4)</f>
        <v>41</v>
      </c>
      <c r="G8" s="9">
        <f>INDEX('5_bezr. na wsi'!B3:G28,MATCH(5,B4:B25,0),5)</f>
        <v>1547</v>
      </c>
      <c r="H8" s="10">
        <f>INDEX('5_bezr. na wsi'!B3:G28,MATCH(5,B4:B25,0),6)</f>
        <v>-301</v>
      </c>
    </row>
    <row r="9" spans="1:8" x14ac:dyDescent="0.2">
      <c r="A9" s="3">
        <v>6</v>
      </c>
      <c r="B9" s="10">
        <f>RANK('5_bezr. na wsi'!C8,'5_bezr. na wsi'!$C$3:'5_bezr. na wsi'!$C$28,1)+COUNTIF('5_bezr. na wsi'!$C$3:'5_bezr. na wsi'!C8,'5_bezr. na wsi'!C8)-1</f>
        <v>8</v>
      </c>
      <c r="C9" s="8" t="str">
        <f>INDEX('5_bezr. na wsi'!B3:G28,MATCH(6,B4:B25,0),1)</f>
        <v>leski</v>
      </c>
      <c r="D9" s="10">
        <f>INDEX('5_bezr. na wsi'!B3:G28,MATCH(6,B4:B25,0),2)</f>
        <v>1262</v>
      </c>
      <c r="E9" s="9">
        <f>INDEX('5_bezr. na wsi'!B3:G28,MATCH(6,B4:B25,0),3)</f>
        <v>1285</v>
      </c>
      <c r="F9" s="10">
        <f>INDEX('5_bezr. na wsi'!B3:G28,MATCH(6,B4:B25,0),4)</f>
        <v>-23</v>
      </c>
      <c r="G9" s="9">
        <f>INDEX('5_bezr. na wsi'!B3:G28,MATCH(6,B4:B25,0),5)</f>
        <v>1286</v>
      </c>
      <c r="H9" s="10">
        <f>INDEX('5_bezr. na wsi'!B3:G28,MATCH(6,B4:B25,0),6)</f>
        <v>-24</v>
      </c>
    </row>
    <row r="10" spans="1:8" x14ac:dyDescent="0.2">
      <c r="A10" s="3">
        <v>7</v>
      </c>
      <c r="B10" s="10">
        <f>RANK('5_bezr. na wsi'!C9,'5_bezr. na wsi'!$C$3:'5_bezr. na wsi'!$C$28,1)+COUNTIF('5_bezr. na wsi'!$C$3:'5_bezr. na wsi'!C9,'5_bezr. na wsi'!C9)-1</f>
        <v>10</v>
      </c>
      <c r="C10" s="13" t="str">
        <f>INDEX('5_bezr. na wsi'!B3:G28,MATCH(7,B4:B25,0),1)</f>
        <v>sanocki</v>
      </c>
      <c r="D10" s="10">
        <f>INDEX('5_bezr. na wsi'!B3:G28,MATCH(7,B4:B25,0),2)</f>
        <v>1360</v>
      </c>
      <c r="E10" s="9">
        <f>INDEX('5_bezr. na wsi'!B3:G28,MATCH(7,B4:B25,0),3)</f>
        <v>1353</v>
      </c>
      <c r="F10" s="10">
        <f>INDEX('5_bezr. na wsi'!B3:G28,MATCH(7,B4:B25,0),4)</f>
        <v>7</v>
      </c>
      <c r="G10" s="9">
        <f>INDEX('5_bezr. na wsi'!B3:G28,MATCH(7,B4:B25,0),5)</f>
        <v>1494</v>
      </c>
      <c r="H10" s="10">
        <f>INDEX('5_bezr. na wsi'!B3:G28,MATCH(7,B4:B25,0),6)</f>
        <v>-134</v>
      </c>
    </row>
    <row r="11" spans="1:8" x14ac:dyDescent="0.2">
      <c r="A11" s="3">
        <v>8</v>
      </c>
      <c r="B11" s="10">
        <f>RANK('5_bezr. na wsi'!C10,'5_bezr. na wsi'!$C$3:'5_bezr. na wsi'!$C$28,1)+COUNTIF('5_bezr. na wsi'!$C$3:'5_bezr. na wsi'!C10,'5_bezr. na wsi'!C10)-1</f>
        <v>6</v>
      </c>
      <c r="C11" s="8" t="str">
        <f>INDEX('5_bezr. na wsi'!B3:G28,MATCH(8,B4:B25,0),1)</f>
        <v>kolbuszowski</v>
      </c>
      <c r="D11" s="10">
        <f>INDEX('5_bezr. na wsi'!B3:G28,MATCH(8,B4:B25,0),2)</f>
        <v>1423</v>
      </c>
      <c r="E11" s="9">
        <f>INDEX('5_bezr. na wsi'!B3:G28,MATCH(8,B4:B25,0),3)</f>
        <v>1405</v>
      </c>
      <c r="F11" s="10">
        <f>INDEX('5_bezr. na wsi'!B3:G28,MATCH(8,B4:B25,0),4)</f>
        <v>18</v>
      </c>
      <c r="G11" s="9">
        <f>INDEX('5_bezr. na wsi'!B3:G28,MATCH(8,B4:B25,0),5)</f>
        <v>1596</v>
      </c>
      <c r="H11" s="10">
        <f>INDEX('5_bezr. na wsi'!B3:G28,MATCH(8,B4:B25,0),6)</f>
        <v>-173</v>
      </c>
    </row>
    <row r="12" spans="1:8" x14ac:dyDescent="0.2">
      <c r="A12" s="3">
        <v>9</v>
      </c>
      <c r="B12" s="10">
        <f>RANK('5_bezr. na wsi'!C11,'5_bezr. na wsi'!$C$3:'5_bezr. na wsi'!$C$28,1)+COUNTIF('5_bezr. na wsi'!$C$3:'5_bezr. na wsi'!C11,'5_bezr. na wsi'!C11)-1</f>
        <v>14</v>
      </c>
      <c r="C12" s="8" t="str">
        <f>INDEX('5_bezr. na wsi'!B3:G28,MATCH(9,B4:B25,0),1)</f>
        <v>dębicki</v>
      </c>
      <c r="D12" s="10">
        <f>INDEX('5_bezr. na wsi'!B3:G28,MATCH(9,B4:B25,0),2)</f>
        <v>1431</v>
      </c>
      <c r="E12" s="9">
        <f>INDEX('5_bezr. na wsi'!B3:G28,MATCH(9,B4:B25,0),3)</f>
        <v>1408</v>
      </c>
      <c r="F12" s="10">
        <f>INDEX('5_bezr. na wsi'!B3:G28,MATCH(9,B4:B25,0),4)</f>
        <v>23</v>
      </c>
      <c r="G12" s="9">
        <f>INDEX('5_bezr. na wsi'!B3:G28,MATCH(9,B4:B25,0),5)</f>
        <v>1777</v>
      </c>
      <c r="H12" s="10">
        <f>INDEX('5_bezr. na wsi'!B3:G28,MATCH(9,B4:B25,0),6)</f>
        <v>-346</v>
      </c>
    </row>
    <row r="13" spans="1:8" x14ac:dyDescent="0.2">
      <c r="A13" s="3">
        <v>10</v>
      </c>
      <c r="B13" s="10">
        <f>RANK('5_bezr. na wsi'!C12,'5_bezr. na wsi'!$C$3:'5_bezr. na wsi'!$C$28,1)+COUNTIF('5_bezr. na wsi'!$C$3:'5_bezr. na wsi'!C12,'5_bezr. na wsi'!C12)-1</f>
        <v>3</v>
      </c>
      <c r="C13" s="8" t="str">
        <f>INDEX('5_bezr. na wsi'!B3:G28,MATCH(10,B4:B25,0),1)</f>
        <v>krośnieński</v>
      </c>
      <c r="D13" s="10">
        <f>INDEX('5_bezr. na wsi'!B3:G28,MATCH(10,B4:B25,0),2)</f>
        <v>1678</v>
      </c>
      <c r="E13" s="9">
        <f>INDEX('5_bezr. na wsi'!B3:G28,MATCH(10,B4:B25,0),3)</f>
        <v>1648</v>
      </c>
      <c r="F13" s="10">
        <f>INDEX('5_bezr. na wsi'!B3:G28,MATCH(10,B4:B25,0),4)</f>
        <v>30</v>
      </c>
      <c r="G13" s="9">
        <f>INDEX('5_bezr. na wsi'!B3:G28,MATCH(10,B4:B25,0),5)</f>
        <v>1982</v>
      </c>
      <c r="H13" s="10">
        <f>INDEX('5_bezr. na wsi'!B3:G28,MATCH(10,B4:B25,0),6)</f>
        <v>-304</v>
      </c>
    </row>
    <row r="14" spans="1:8" x14ac:dyDescent="0.2">
      <c r="A14" s="3">
        <v>11</v>
      </c>
      <c r="B14" s="10">
        <f>RANK('5_bezr. na wsi'!C13,'5_bezr. na wsi'!$C$3:'5_bezr. na wsi'!$C$28,1)+COUNTIF('5_bezr. na wsi'!$C$3:'5_bezr. na wsi'!C13,'5_bezr. na wsi'!C13)-1</f>
        <v>13</v>
      </c>
      <c r="C14" s="8" t="str">
        <f>INDEX('5_bezr. na wsi'!B3:G28,MATCH(11,B4:B25,0),1)</f>
        <v>ropczycko-sędziszowski</v>
      </c>
      <c r="D14" s="10">
        <f>INDEX('5_bezr. na wsi'!B3:G28,MATCH(11,B4:B25,0),2)</f>
        <v>1932</v>
      </c>
      <c r="E14" s="9">
        <f>INDEX('5_bezr. na wsi'!B3:G28,MATCH(11,B4:B25,0),3)</f>
        <v>1936</v>
      </c>
      <c r="F14" s="10">
        <f>INDEX('5_bezr. na wsi'!B3:G28,MATCH(11,B4:B25,0),4)</f>
        <v>-4</v>
      </c>
      <c r="G14" s="9">
        <f>INDEX('5_bezr. na wsi'!B3:G28,MATCH(11,B4:B25,0),5)</f>
        <v>2105</v>
      </c>
      <c r="H14" s="10">
        <f>INDEX('5_bezr. na wsi'!B3:G28,MATCH(11,B4:B25,0),6)</f>
        <v>-173</v>
      </c>
    </row>
    <row r="15" spans="1:8" x14ac:dyDescent="0.2">
      <c r="A15" s="3">
        <v>12</v>
      </c>
      <c r="B15" s="10">
        <f>RANK('5_bezr. na wsi'!C14,'5_bezr. na wsi'!$C$3:'5_bezr. na wsi'!$C$28,1)+COUNTIF('5_bezr. na wsi'!$C$3:'5_bezr. na wsi'!C14,'5_bezr. na wsi'!C14)-1</f>
        <v>5</v>
      </c>
      <c r="C15" s="8" t="str">
        <f>INDEX('5_bezr. na wsi'!B3:G28,MATCH(12,B4:B25,0),1)</f>
        <v>niżański</v>
      </c>
      <c r="D15" s="10">
        <f>INDEX('5_bezr. na wsi'!B3:G28,MATCH(12,B4:B25,0),2)</f>
        <v>2033</v>
      </c>
      <c r="E15" s="9">
        <f>INDEX('5_bezr. na wsi'!B3:G28,MATCH(12,B4:B25,0),3)</f>
        <v>2028</v>
      </c>
      <c r="F15" s="10">
        <f>INDEX('5_bezr. na wsi'!B3:G28,MATCH(12,B4:B25,0),4)</f>
        <v>5</v>
      </c>
      <c r="G15" s="9">
        <f>INDEX('5_bezr. na wsi'!B3:G28,MATCH(12,B4:B25,0),5)</f>
        <v>2241</v>
      </c>
      <c r="H15" s="10">
        <f>INDEX('5_bezr. na wsi'!B3:G28,MATCH(12,B4:B25,0),6)</f>
        <v>-208</v>
      </c>
    </row>
    <row r="16" spans="1:8" x14ac:dyDescent="0.2">
      <c r="A16" s="3">
        <v>13</v>
      </c>
      <c r="B16" s="10">
        <f>RANK('5_bezr. na wsi'!C15,'5_bezr. na wsi'!$C$3:'5_bezr. na wsi'!$C$28,1)+COUNTIF('5_bezr. na wsi'!$C$3:'5_bezr. na wsi'!C15,'5_bezr. na wsi'!C15)-1</f>
        <v>12</v>
      </c>
      <c r="C16" s="8" t="str">
        <f>INDEX('5_bezr. na wsi'!B3:G28,MATCH(13,B4:B25,0),1)</f>
        <v>łańcucki</v>
      </c>
      <c r="D16" s="10">
        <f>INDEX('5_bezr. na wsi'!B3:G28,MATCH(13,B4:B25,0),2)</f>
        <v>2175</v>
      </c>
      <c r="E16" s="9">
        <f>INDEX('5_bezr. na wsi'!B3:G28,MATCH(13,B4:B25,0),3)</f>
        <v>2246</v>
      </c>
      <c r="F16" s="10">
        <f>INDEX('5_bezr. na wsi'!B3:G28,MATCH(13,B4:B25,0),4)</f>
        <v>-71</v>
      </c>
      <c r="G16" s="9">
        <f>INDEX('5_bezr. na wsi'!B3:G28,MATCH(13,B4:B25,0),5)</f>
        <v>2744</v>
      </c>
      <c r="H16" s="10">
        <f>INDEX('5_bezr. na wsi'!B3:G28,MATCH(13,B4:B25,0),6)</f>
        <v>-569</v>
      </c>
    </row>
    <row r="17" spans="1:8" x14ac:dyDescent="0.2">
      <c r="A17" s="3">
        <v>14</v>
      </c>
      <c r="B17" s="10">
        <f>RANK('5_bezr. na wsi'!C16,'5_bezr. na wsi'!$C$3:'5_bezr. na wsi'!$C$28,1)+COUNTIF('5_bezr. na wsi'!$C$3:'5_bezr. na wsi'!C16,'5_bezr. na wsi'!C16)-1</f>
        <v>18</v>
      </c>
      <c r="C17" s="8" t="str">
        <f>INDEX('5_bezr. na wsi'!B3:G28,MATCH(14,B4:B25,0),1)</f>
        <v>leżajski</v>
      </c>
      <c r="D17" s="10">
        <f>INDEX('5_bezr. na wsi'!B3:G28,MATCH(14,B4:B25,0),2)</f>
        <v>2427</v>
      </c>
      <c r="E17" s="9">
        <f>INDEX('5_bezr. na wsi'!B3:G28,MATCH(14,B4:B25,0),3)</f>
        <v>2494</v>
      </c>
      <c r="F17" s="10">
        <f>INDEX('5_bezr. na wsi'!B3:G28,MATCH(14,B4:B25,0),4)</f>
        <v>-67</v>
      </c>
      <c r="G17" s="9">
        <f>INDEX('5_bezr. na wsi'!B3:G28,MATCH(14,B4:B25,0),5)</f>
        <v>2861</v>
      </c>
      <c r="H17" s="10">
        <f>INDEX('5_bezr. na wsi'!B3:G28,MATCH(14,B4:B25,0),6)</f>
        <v>-434</v>
      </c>
    </row>
    <row r="18" spans="1:8" x14ac:dyDescent="0.2">
      <c r="A18" s="3">
        <v>15</v>
      </c>
      <c r="B18" s="10">
        <f>RANK('5_bezr. na wsi'!C17,'5_bezr. na wsi'!$C$3:'5_bezr. na wsi'!$C$28,1)+COUNTIF('5_bezr. na wsi'!$C$3:'5_bezr. na wsi'!C17,'5_bezr. na wsi'!C17)-1</f>
        <v>15</v>
      </c>
      <c r="C18" s="8" t="str">
        <f>INDEX('5_bezr. na wsi'!B3:G28,MATCH(15,B4:B25,0),1)</f>
        <v>przeworski</v>
      </c>
      <c r="D18" s="10">
        <f>INDEX('5_bezr. na wsi'!B3:G28,MATCH(15,B4:B25,0),2)</f>
        <v>2645</v>
      </c>
      <c r="E18" s="9">
        <f>INDEX('5_bezr. na wsi'!B3:G28,MATCH(15,B4:B25,0),3)</f>
        <v>2640</v>
      </c>
      <c r="F18" s="10">
        <f>INDEX('5_bezr. na wsi'!B3:G28,MATCH(15,B4:B25,0),4)</f>
        <v>5</v>
      </c>
      <c r="G18" s="9">
        <f>INDEX('5_bezr. na wsi'!B3:G28,MATCH(15,B4:B25,0),5)</f>
        <v>2870</v>
      </c>
      <c r="H18" s="10">
        <f>INDEX('5_bezr. na wsi'!B3:G28,MATCH(15,B4:B25,0),6)</f>
        <v>-225</v>
      </c>
    </row>
    <row r="19" spans="1:8" x14ac:dyDescent="0.2">
      <c r="A19" s="3">
        <v>16</v>
      </c>
      <c r="B19" s="10">
        <f>RANK('5_bezr. na wsi'!C18,'5_bezr. na wsi'!$C$3:'5_bezr. na wsi'!$C$28,1)+COUNTIF('5_bezr. na wsi'!$C$3:'5_bezr. na wsi'!C18,'5_bezr. na wsi'!C18)-1</f>
        <v>11</v>
      </c>
      <c r="C19" s="8" t="str">
        <f>INDEX('5_bezr. na wsi'!B3:G28,MATCH(16,B4:B25,0),1)</f>
        <v>jarosławski</v>
      </c>
      <c r="D19" s="10">
        <f>INDEX('5_bezr. na wsi'!B3:G28,MATCH(16,B4:B25,0),2)</f>
        <v>2863</v>
      </c>
      <c r="E19" s="9">
        <f>INDEX('5_bezr. na wsi'!B3:G28,MATCH(16,B4:B25,0),3)</f>
        <v>2891</v>
      </c>
      <c r="F19" s="10">
        <f>INDEX('5_bezr. na wsi'!B3:G28,MATCH(16,B4:B25,0),4)</f>
        <v>-28</v>
      </c>
      <c r="G19" s="9">
        <f>INDEX('5_bezr. na wsi'!B3:G28,MATCH(16,B4:B25,0),5)</f>
        <v>3541</v>
      </c>
      <c r="H19" s="10">
        <f>INDEX('5_bezr. na wsi'!B3:G28,MATCH(16,B4:B25,0),6)</f>
        <v>-678</v>
      </c>
    </row>
    <row r="20" spans="1:8" x14ac:dyDescent="0.2">
      <c r="A20" s="3">
        <v>17</v>
      </c>
      <c r="B20" s="10">
        <f>RANK('5_bezr. na wsi'!C19,'5_bezr. na wsi'!$C$3:'5_bezr. na wsi'!$C$28,1)+COUNTIF('5_bezr. na wsi'!$C$3:'5_bezr. na wsi'!C19,'5_bezr. na wsi'!C19)-1</f>
        <v>21</v>
      </c>
      <c r="C20" s="8" t="str">
        <f>INDEX('5_bezr. na wsi'!B3:G28,MATCH(17,B4:B25,0),1)</f>
        <v>strzyżowski</v>
      </c>
      <c r="D20" s="10">
        <f>INDEX('5_bezr. na wsi'!B3:G28,MATCH(17,B4:B25,0),2)</f>
        <v>2872</v>
      </c>
      <c r="E20" s="9">
        <f>INDEX('5_bezr. na wsi'!B3:G28,MATCH(17,B4:B25,0),3)</f>
        <v>2876</v>
      </c>
      <c r="F20" s="10">
        <f>INDEX('5_bezr. na wsi'!B3:G28,MATCH(17,B4:B25,0),4)</f>
        <v>-4</v>
      </c>
      <c r="G20" s="9">
        <f>INDEX('5_bezr. na wsi'!B3:G28,MATCH(17,B4:B25,0),5)</f>
        <v>3224</v>
      </c>
      <c r="H20" s="10">
        <f>INDEX('5_bezr. na wsi'!B3:G28,MATCH(17,B4:B25,0),6)</f>
        <v>-352</v>
      </c>
    </row>
    <row r="21" spans="1:8" x14ac:dyDescent="0.2">
      <c r="A21" s="3">
        <v>18</v>
      </c>
      <c r="B21" s="10">
        <f>RANK('5_bezr. na wsi'!C20,'5_bezr. na wsi'!$C$3:'5_bezr. na wsi'!$C$28,1)+COUNTIF('5_bezr. na wsi'!$C$3:'5_bezr. na wsi'!C20,'5_bezr. na wsi'!C20)-1</f>
        <v>7</v>
      </c>
      <c r="C21" s="8" t="str">
        <f>INDEX('5_bezr. na wsi'!B3:G28,MATCH(18,B4:B25,0),1)</f>
        <v>przemyski</v>
      </c>
      <c r="D21" s="10">
        <f>INDEX('5_bezr. na wsi'!B3:G28,MATCH(18,B4:B25,0),2)</f>
        <v>2954</v>
      </c>
      <c r="E21" s="9">
        <f>INDEX('5_bezr. na wsi'!B3:G28,MATCH(18,B4:B25,0),3)</f>
        <v>3047</v>
      </c>
      <c r="F21" s="10">
        <f>INDEX('5_bezr. na wsi'!B3:G28,MATCH(18,B4:B25,0),4)</f>
        <v>-93</v>
      </c>
      <c r="G21" s="9">
        <f>INDEX('5_bezr. na wsi'!B3:G28,MATCH(18,B4:B25,0),5)</f>
        <v>3483</v>
      </c>
      <c r="H21" s="10">
        <f>INDEX('5_bezr. na wsi'!B3:G28,MATCH(18,B4:B25,0),6)</f>
        <v>-529</v>
      </c>
    </row>
    <row r="22" spans="1:8" x14ac:dyDescent="0.2">
      <c r="A22" s="3">
        <v>19</v>
      </c>
      <c r="B22" s="10">
        <f>RANK('5_bezr. na wsi'!C21,'5_bezr. na wsi'!$C$3:'5_bezr. na wsi'!$C$28,1)+COUNTIF('5_bezr. na wsi'!$C$3:'5_bezr. na wsi'!C21,'5_bezr. na wsi'!C21)-1</f>
        <v>2</v>
      </c>
      <c r="C22" s="8" t="str">
        <f>INDEX('5_bezr. na wsi'!B3:G28,MATCH(19,B4:B25,0),1)</f>
        <v>jasielski</v>
      </c>
      <c r="D22" s="10">
        <f>INDEX('5_bezr. na wsi'!B3:G28,MATCH(19,B4:B25,0),2)</f>
        <v>3299</v>
      </c>
      <c r="E22" s="9">
        <f>INDEX('5_bezr. na wsi'!B3:G28,MATCH(19,B4:B25,0),3)</f>
        <v>3326</v>
      </c>
      <c r="F22" s="10">
        <f>INDEX('5_bezr. na wsi'!B3:G28,MATCH(19,B4:B25,0),4)</f>
        <v>-27</v>
      </c>
      <c r="G22" s="9">
        <f>INDEX('5_bezr. na wsi'!B3:G28,MATCH(19,B4:B25,0),5)</f>
        <v>3833</v>
      </c>
      <c r="H22" s="10">
        <f>INDEX('5_bezr. na wsi'!B3:G28,MATCH(19,B4:B25,0),6)</f>
        <v>-534</v>
      </c>
    </row>
    <row r="23" spans="1:8" x14ac:dyDescent="0.2">
      <c r="A23" s="3">
        <v>20</v>
      </c>
      <c r="B23" s="10">
        <f>RANK('5_bezr. na wsi'!C22,'5_bezr. na wsi'!$C$3:'5_bezr. na wsi'!$C$28,1)+COUNTIF('5_bezr. na wsi'!$C$3:'5_bezr. na wsi'!C22,'5_bezr. na wsi'!C22)-1</f>
        <v>17</v>
      </c>
      <c r="C23" s="8" t="str">
        <f>INDEX('5_bezr. na wsi'!B3:G28,MATCH(20,B4:B25,0),1)</f>
        <v>brzozowski</v>
      </c>
      <c r="D23" s="10">
        <f>INDEX('5_bezr. na wsi'!B3:G28,MATCH(20,B4:B25,0),2)</f>
        <v>3612</v>
      </c>
      <c r="E23" s="9">
        <f>INDEX('5_bezr. na wsi'!B3:G28,MATCH(20,B4:B25,0),3)</f>
        <v>3596</v>
      </c>
      <c r="F23" s="10">
        <f>INDEX('5_bezr. na wsi'!B3:G28,MATCH(20,B4:B25,0),4)</f>
        <v>16</v>
      </c>
      <c r="G23" s="9">
        <f>INDEX('5_bezr. na wsi'!B3:G28,MATCH(20,B4:B25,0),5)</f>
        <v>3695</v>
      </c>
      <c r="H23" s="10">
        <f>INDEX('5_bezr. na wsi'!B3:G28,MATCH(20,B4:B25,0),6)</f>
        <v>-83</v>
      </c>
    </row>
    <row r="24" spans="1:8" x14ac:dyDescent="0.2">
      <c r="A24" s="3">
        <v>21</v>
      </c>
      <c r="B24" s="10">
        <f>RANK('5_bezr. na wsi'!C23,'5_bezr. na wsi'!$C$3:'5_bezr. na wsi'!$C$28,1)+COUNTIF('5_bezr. na wsi'!$C$3:'5_bezr. na wsi'!C23,'5_bezr. na wsi'!C23)-1</f>
        <v>4</v>
      </c>
      <c r="C24" s="8" t="str">
        <f>INDEX('5_bezr. na wsi'!B3:G28,MATCH(21,B4:B25,0),1)</f>
        <v>rzeszowski</v>
      </c>
      <c r="D24" s="10">
        <f>INDEX('5_bezr. na wsi'!B3:G28,MATCH(21,B4:B25,0),2)</f>
        <v>3921</v>
      </c>
      <c r="E24" s="9">
        <f>INDEX('5_bezr. na wsi'!B3:G28,MATCH(21,B4:B25,0),3)</f>
        <v>3969</v>
      </c>
      <c r="F24" s="10">
        <f>INDEX('5_bezr. na wsi'!B3:G28,MATCH(21,B4:B25,0),4)</f>
        <v>-48</v>
      </c>
      <c r="G24" s="9">
        <f>INDEX('5_bezr. na wsi'!B3:G28,MATCH(21,B4:B25,0),5)</f>
        <v>4954</v>
      </c>
      <c r="H24" s="10">
        <f>INDEX('5_bezr. na wsi'!B3:G28,MATCH(21,B4:B25,0),6)</f>
        <v>-1033</v>
      </c>
    </row>
    <row r="25" spans="1:8" ht="15" x14ac:dyDescent="0.25">
      <c r="A25" s="3">
        <v>22</v>
      </c>
      <c r="B25" s="34">
        <f>RANK('5_bezr. na wsi'!C24,'5_bezr. na wsi'!$C$3:'5_bezr. na wsi'!$C$28,1)+COUNTIF('5_bezr. na wsi'!$C$3:'5_bezr. na wsi'!C24,'5_bezr. na wsi'!C24)-1</f>
        <v>22</v>
      </c>
      <c r="C25" s="69" t="str">
        <f>INDEX('5_bezr. na wsi'!B3:G28,MATCH(22,B4:B25,0),1)</f>
        <v>województwo</v>
      </c>
      <c r="D25" s="34">
        <f>INDEX('5_bezr. na wsi'!B3:G28,MATCH(22,B4:B25,0),2)</f>
        <v>42694</v>
      </c>
      <c r="E25" s="17">
        <f>INDEX('5_bezr. na wsi'!B3:G28,MATCH(22,B4:B25,0),3)</f>
        <v>42985</v>
      </c>
      <c r="F25" s="34">
        <f>INDEX('5_bezr. na wsi'!B3:G28,MATCH(22,B4:B25,0),4)</f>
        <v>-291</v>
      </c>
      <c r="G25" s="17">
        <f>INDEX('5_bezr. na wsi'!B3:G28,MATCH(22,B4:B25,0),5)</f>
        <v>49444</v>
      </c>
      <c r="H25" s="34">
        <f>INDEX('5_bezr. na wsi'!B3:G28,MATCH(22,B4:B25,0),6)</f>
        <v>-6750</v>
      </c>
    </row>
  </sheetData>
  <pageMargins left="0" right="0" top="0.31496062992125984" bottom="0" header="0" footer="0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30"/>
  <sheetViews>
    <sheetView zoomScale="90" zoomScaleNormal="9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4.42578125" style="3" customWidth="1"/>
    <col min="4" max="4" width="14.140625" style="3" customWidth="1"/>
    <col min="5" max="5" width="17.5703125" style="3" customWidth="1"/>
    <col min="6" max="6" width="14.140625" style="3" customWidth="1"/>
    <col min="7" max="7" width="17.28515625" style="3" customWidth="1"/>
    <col min="8" max="16384" width="9.140625" style="3"/>
  </cols>
  <sheetData>
    <row r="1" spans="2:8" ht="19.5" customHeight="1" x14ac:dyDescent="0.2">
      <c r="B1" s="1" t="s">
        <v>79</v>
      </c>
      <c r="C1" s="70"/>
      <c r="D1" s="70"/>
      <c r="E1" s="70"/>
      <c r="F1" s="70"/>
      <c r="G1" s="70"/>
    </row>
    <row r="2" spans="2:8" ht="71.25" x14ac:dyDescent="0.2">
      <c r="B2" s="5" t="s">
        <v>27</v>
      </c>
      <c r="C2" s="6" t="s">
        <v>119</v>
      </c>
      <c r="D2" s="7" t="s">
        <v>104</v>
      </c>
      <c r="E2" s="6" t="s">
        <v>28</v>
      </c>
      <c r="F2" s="7" t="s">
        <v>120</v>
      </c>
      <c r="G2" s="6" t="s">
        <v>26</v>
      </c>
    </row>
    <row r="3" spans="2:8" x14ac:dyDescent="0.2">
      <c r="B3" s="8" t="s">
        <v>0</v>
      </c>
      <c r="C3" s="10">
        <v>644</v>
      </c>
      <c r="D3" s="9">
        <v>651</v>
      </c>
      <c r="E3" s="10">
        <f t="shared" ref="E3:E27" si="0">SUM(C3)-D3</f>
        <v>-7</v>
      </c>
      <c r="F3" s="9">
        <v>755</v>
      </c>
      <c r="G3" s="10">
        <f t="shared" ref="G3:G27" si="1">SUM(C3)-F3</f>
        <v>-111</v>
      </c>
      <c r="H3" s="11"/>
    </row>
    <row r="4" spans="2:8" x14ac:dyDescent="0.2">
      <c r="B4" s="8" t="s">
        <v>1</v>
      </c>
      <c r="C4" s="10">
        <v>2630</v>
      </c>
      <c r="D4" s="9">
        <v>2617</v>
      </c>
      <c r="E4" s="10">
        <f t="shared" si="0"/>
        <v>13</v>
      </c>
      <c r="F4" s="9">
        <v>2704</v>
      </c>
      <c r="G4" s="10">
        <f t="shared" si="1"/>
        <v>-74</v>
      </c>
      <c r="H4" s="11"/>
    </row>
    <row r="5" spans="2:8" x14ac:dyDescent="0.2">
      <c r="B5" s="8" t="s">
        <v>2</v>
      </c>
      <c r="C5" s="10">
        <v>1172</v>
      </c>
      <c r="D5" s="9">
        <v>1204</v>
      </c>
      <c r="E5" s="10">
        <f t="shared" si="0"/>
        <v>-32</v>
      </c>
      <c r="F5" s="9">
        <v>1499</v>
      </c>
      <c r="G5" s="10">
        <f t="shared" si="1"/>
        <v>-327</v>
      </c>
      <c r="H5" s="11"/>
    </row>
    <row r="6" spans="2:8" x14ac:dyDescent="0.2">
      <c r="B6" s="8" t="s">
        <v>3</v>
      </c>
      <c r="C6" s="10">
        <v>2926</v>
      </c>
      <c r="D6" s="9">
        <v>2937</v>
      </c>
      <c r="E6" s="10">
        <f t="shared" si="0"/>
        <v>-11</v>
      </c>
      <c r="F6" s="9">
        <v>3517</v>
      </c>
      <c r="G6" s="10">
        <f t="shared" si="1"/>
        <v>-591</v>
      </c>
      <c r="H6" s="11"/>
    </row>
    <row r="7" spans="2:8" x14ac:dyDescent="0.2">
      <c r="B7" s="8" t="s">
        <v>4</v>
      </c>
      <c r="C7" s="10">
        <v>3167</v>
      </c>
      <c r="D7" s="9">
        <v>3179</v>
      </c>
      <c r="E7" s="10">
        <f t="shared" si="0"/>
        <v>-12</v>
      </c>
      <c r="F7" s="9">
        <v>3665</v>
      </c>
      <c r="G7" s="10">
        <f t="shared" si="1"/>
        <v>-498</v>
      </c>
      <c r="H7" s="11"/>
    </row>
    <row r="8" spans="2:8" x14ac:dyDescent="0.2">
      <c r="B8" s="8" t="s">
        <v>5</v>
      </c>
      <c r="C8" s="10">
        <v>854</v>
      </c>
      <c r="D8" s="9">
        <v>851</v>
      </c>
      <c r="E8" s="10">
        <f t="shared" si="0"/>
        <v>3</v>
      </c>
      <c r="F8" s="9">
        <v>943</v>
      </c>
      <c r="G8" s="10">
        <f t="shared" si="1"/>
        <v>-89</v>
      </c>
      <c r="H8" s="11"/>
    </row>
    <row r="9" spans="2:8" x14ac:dyDescent="0.2">
      <c r="B9" s="13" t="s">
        <v>6</v>
      </c>
      <c r="C9" s="10">
        <v>950</v>
      </c>
      <c r="D9" s="9">
        <v>954</v>
      </c>
      <c r="E9" s="10">
        <f t="shared" si="0"/>
        <v>-4</v>
      </c>
      <c r="F9" s="9">
        <v>1015</v>
      </c>
      <c r="G9" s="10">
        <f t="shared" si="1"/>
        <v>-65</v>
      </c>
      <c r="H9" s="11"/>
    </row>
    <row r="10" spans="2:8" x14ac:dyDescent="0.2">
      <c r="B10" s="8" t="s">
        <v>7</v>
      </c>
      <c r="C10" s="10">
        <v>1016</v>
      </c>
      <c r="D10" s="9">
        <v>1022</v>
      </c>
      <c r="E10" s="10">
        <f t="shared" si="0"/>
        <v>-6</v>
      </c>
      <c r="F10" s="9">
        <v>1028</v>
      </c>
      <c r="G10" s="10">
        <f t="shared" si="1"/>
        <v>-12</v>
      </c>
      <c r="H10" s="11"/>
    </row>
    <row r="11" spans="2:8" x14ac:dyDescent="0.2">
      <c r="B11" s="8" t="s">
        <v>8</v>
      </c>
      <c r="C11" s="10">
        <v>2047</v>
      </c>
      <c r="D11" s="9">
        <v>2077</v>
      </c>
      <c r="E11" s="10">
        <f t="shared" si="0"/>
        <v>-30</v>
      </c>
      <c r="F11" s="9">
        <v>2233</v>
      </c>
      <c r="G11" s="10">
        <f t="shared" si="1"/>
        <v>-186</v>
      </c>
      <c r="H11" s="11"/>
    </row>
    <row r="12" spans="2:8" x14ac:dyDescent="0.2">
      <c r="B12" s="8" t="s">
        <v>9</v>
      </c>
      <c r="C12" s="10">
        <v>936</v>
      </c>
      <c r="D12" s="9">
        <v>982</v>
      </c>
      <c r="E12" s="10">
        <f t="shared" si="0"/>
        <v>-46</v>
      </c>
      <c r="F12" s="9">
        <v>1067</v>
      </c>
      <c r="G12" s="10">
        <f t="shared" si="1"/>
        <v>-131</v>
      </c>
      <c r="H12" s="11"/>
    </row>
    <row r="13" spans="2:8" x14ac:dyDescent="0.2">
      <c r="B13" s="8" t="s">
        <v>10</v>
      </c>
      <c r="C13" s="10">
        <v>1526</v>
      </c>
      <c r="D13" s="9">
        <v>1601</v>
      </c>
      <c r="E13" s="10">
        <f t="shared" si="0"/>
        <v>-75</v>
      </c>
      <c r="F13" s="9">
        <v>2027</v>
      </c>
      <c r="G13" s="10">
        <f t="shared" si="1"/>
        <v>-501</v>
      </c>
      <c r="H13" s="11"/>
    </row>
    <row r="14" spans="2:8" x14ac:dyDescent="0.2">
      <c r="B14" s="8" t="s">
        <v>11</v>
      </c>
      <c r="C14" s="10">
        <v>1301</v>
      </c>
      <c r="D14" s="9">
        <v>1287</v>
      </c>
      <c r="E14" s="10">
        <f t="shared" si="0"/>
        <v>14</v>
      </c>
      <c r="F14" s="9">
        <v>1521</v>
      </c>
      <c r="G14" s="10">
        <f t="shared" si="1"/>
        <v>-220</v>
      </c>
      <c r="H14" s="11"/>
    </row>
    <row r="15" spans="2:8" x14ac:dyDescent="0.2">
      <c r="B15" s="8" t="s">
        <v>12</v>
      </c>
      <c r="C15" s="10">
        <v>1895</v>
      </c>
      <c r="D15" s="9">
        <v>1906</v>
      </c>
      <c r="E15" s="10">
        <f t="shared" si="0"/>
        <v>-11</v>
      </c>
      <c r="F15" s="9">
        <v>2142</v>
      </c>
      <c r="G15" s="10">
        <f t="shared" si="1"/>
        <v>-247</v>
      </c>
      <c r="H15" s="11"/>
    </row>
    <row r="16" spans="2:8" x14ac:dyDescent="0.2">
      <c r="B16" s="8" t="s">
        <v>13</v>
      </c>
      <c r="C16" s="10">
        <v>1880</v>
      </c>
      <c r="D16" s="9">
        <v>1962</v>
      </c>
      <c r="E16" s="10">
        <f t="shared" si="0"/>
        <v>-82</v>
      </c>
      <c r="F16" s="9">
        <v>2191</v>
      </c>
      <c r="G16" s="10">
        <f t="shared" si="1"/>
        <v>-311</v>
      </c>
      <c r="H16" s="11"/>
    </row>
    <row r="17" spans="2:8" x14ac:dyDescent="0.2">
      <c r="B17" s="8" t="s">
        <v>14</v>
      </c>
      <c r="C17" s="10">
        <v>2224</v>
      </c>
      <c r="D17" s="9">
        <v>2227</v>
      </c>
      <c r="E17" s="10">
        <f t="shared" si="0"/>
        <v>-3</v>
      </c>
      <c r="F17" s="9">
        <v>2436</v>
      </c>
      <c r="G17" s="10">
        <f t="shared" si="1"/>
        <v>-212</v>
      </c>
      <c r="H17" s="11"/>
    </row>
    <row r="18" spans="2:8" x14ac:dyDescent="0.2">
      <c r="B18" s="8" t="s">
        <v>15</v>
      </c>
      <c r="C18" s="10">
        <v>1772</v>
      </c>
      <c r="D18" s="9">
        <v>1792</v>
      </c>
      <c r="E18" s="10">
        <f t="shared" si="0"/>
        <v>-20</v>
      </c>
      <c r="F18" s="9">
        <v>1944</v>
      </c>
      <c r="G18" s="10">
        <f t="shared" si="1"/>
        <v>-172</v>
      </c>
      <c r="H18" s="11"/>
    </row>
    <row r="19" spans="2:8" x14ac:dyDescent="0.2">
      <c r="B19" s="8" t="s">
        <v>16</v>
      </c>
      <c r="C19" s="10">
        <v>3121</v>
      </c>
      <c r="D19" s="9">
        <v>3170</v>
      </c>
      <c r="E19" s="10">
        <f t="shared" si="0"/>
        <v>-49</v>
      </c>
      <c r="F19" s="9">
        <v>3877</v>
      </c>
      <c r="G19" s="10">
        <f t="shared" si="1"/>
        <v>-756</v>
      </c>
      <c r="H19" s="11"/>
    </row>
    <row r="20" spans="2:8" x14ac:dyDescent="0.2">
      <c r="B20" s="8" t="s">
        <v>17</v>
      </c>
      <c r="C20" s="10">
        <v>1243</v>
      </c>
      <c r="D20" s="9">
        <v>1269</v>
      </c>
      <c r="E20" s="10">
        <f t="shared" si="0"/>
        <v>-26</v>
      </c>
      <c r="F20" s="9">
        <v>1463</v>
      </c>
      <c r="G20" s="10">
        <f t="shared" si="1"/>
        <v>-220</v>
      </c>
      <c r="H20" s="11"/>
    </row>
    <row r="21" spans="2:8" x14ac:dyDescent="0.2">
      <c r="B21" s="8" t="s">
        <v>18</v>
      </c>
      <c r="C21" s="10">
        <v>895</v>
      </c>
      <c r="D21" s="9">
        <v>898</v>
      </c>
      <c r="E21" s="10">
        <f t="shared" si="0"/>
        <v>-3</v>
      </c>
      <c r="F21" s="9">
        <v>1110</v>
      </c>
      <c r="G21" s="10">
        <f t="shared" si="1"/>
        <v>-215</v>
      </c>
      <c r="H21" s="11"/>
    </row>
    <row r="22" spans="2:8" x14ac:dyDescent="0.2">
      <c r="B22" s="8" t="s">
        <v>19</v>
      </c>
      <c r="C22" s="10">
        <v>2160</v>
      </c>
      <c r="D22" s="9">
        <v>2188</v>
      </c>
      <c r="E22" s="10">
        <f t="shared" si="0"/>
        <v>-28</v>
      </c>
      <c r="F22" s="9">
        <v>2374</v>
      </c>
      <c r="G22" s="10">
        <f t="shared" si="1"/>
        <v>-214</v>
      </c>
      <c r="H22" s="11"/>
    </row>
    <row r="23" spans="2:8" x14ac:dyDescent="0.2">
      <c r="B23" s="8" t="s">
        <v>20</v>
      </c>
      <c r="C23" s="10">
        <v>741</v>
      </c>
      <c r="D23" s="9">
        <v>780</v>
      </c>
      <c r="E23" s="10">
        <f t="shared" si="0"/>
        <v>-39</v>
      </c>
      <c r="F23" s="9">
        <v>877</v>
      </c>
      <c r="G23" s="10">
        <f t="shared" si="1"/>
        <v>-136</v>
      </c>
      <c r="H23" s="11"/>
    </row>
    <row r="24" spans="2:8" x14ac:dyDescent="0.2">
      <c r="B24" s="8" t="s">
        <v>21</v>
      </c>
      <c r="C24" s="10">
        <v>342</v>
      </c>
      <c r="D24" s="9">
        <v>348</v>
      </c>
      <c r="E24" s="10">
        <f t="shared" si="0"/>
        <v>-6</v>
      </c>
      <c r="F24" s="9">
        <v>380</v>
      </c>
      <c r="G24" s="10">
        <f t="shared" si="1"/>
        <v>-38</v>
      </c>
      <c r="H24" s="11"/>
    </row>
    <row r="25" spans="2:8" x14ac:dyDescent="0.2">
      <c r="B25" s="8" t="s">
        <v>22</v>
      </c>
      <c r="C25" s="71">
        <v>1695</v>
      </c>
      <c r="D25" s="9">
        <v>1733</v>
      </c>
      <c r="E25" s="71">
        <f t="shared" si="0"/>
        <v>-38</v>
      </c>
      <c r="F25" s="9">
        <v>2008</v>
      </c>
      <c r="G25" s="10">
        <f t="shared" si="1"/>
        <v>-313</v>
      </c>
      <c r="H25" s="11"/>
    </row>
    <row r="26" spans="2:8" x14ac:dyDescent="0.2">
      <c r="B26" s="8" t="s">
        <v>23</v>
      </c>
      <c r="C26" s="71">
        <v>3728</v>
      </c>
      <c r="D26" s="9">
        <v>3780</v>
      </c>
      <c r="E26" s="71">
        <f t="shared" si="0"/>
        <v>-52</v>
      </c>
      <c r="F26" s="9">
        <v>4515</v>
      </c>
      <c r="G26" s="10">
        <f t="shared" si="1"/>
        <v>-787</v>
      </c>
      <c r="H26" s="11"/>
    </row>
    <row r="27" spans="2:8" x14ac:dyDescent="0.2">
      <c r="B27" s="8" t="s">
        <v>24</v>
      </c>
      <c r="C27" s="71">
        <v>667</v>
      </c>
      <c r="D27" s="9">
        <v>684</v>
      </c>
      <c r="E27" s="71">
        <f t="shared" si="0"/>
        <v>-17</v>
      </c>
      <c r="F27" s="9">
        <v>786</v>
      </c>
      <c r="G27" s="10">
        <f t="shared" si="1"/>
        <v>-119</v>
      </c>
      <c r="H27" s="11"/>
    </row>
    <row r="28" spans="2:8" ht="15" x14ac:dyDescent="0.25">
      <c r="B28" s="15" t="s">
        <v>25</v>
      </c>
      <c r="C28" s="16">
        <f>SUM(C3:C27)</f>
        <v>41532</v>
      </c>
      <c r="D28" s="37">
        <f>SUM(D3:D27)</f>
        <v>42099</v>
      </c>
      <c r="E28" s="16">
        <f>SUM(E3:E27)</f>
        <v>-567</v>
      </c>
      <c r="F28" s="37">
        <f>SUM(F3:F27)</f>
        <v>48077</v>
      </c>
      <c r="G28" s="16">
        <f>SUM(G3:G27)</f>
        <v>-6545</v>
      </c>
      <c r="H28" s="11"/>
    </row>
    <row r="29" spans="2:8" ht="15" x14ac:dyDescent="0.25">
      <c r="B29" s="3" t="s">
        <v>98</v>
      </c>
      <c r="E29" s="30"/>
      <c r="F29" s="11"/>
      <c r="G29" s="11"/>
    </row>
    <row r="30" spans="2:8" x14ac:dyDescent="0.2">
      <c r="B30" s="3" t="s">
        <v>99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3.5703125" style="3" customWidth="1"/>
    <col min="5" max="5" width="13.7109375" style="3" customWidth="1"/>
    <col min="6" max="6" width="16" style="3" customWidth="1"/>
    <col min="7" max="7" width="14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91</v>
      </c>
    </row>
    <row r="2" spans="2:8" ht="15" x14ac:dyDescent="0.2">
      <c r="C2" s="31"/>
      <c r="D2" s="32"/>
    </row>
    <row r="3" spans="2:8" ht="71.25" x14ac:dyDescent="0.2">
      <c r="B3" s="33" t="s">
        <v>88</v>
      </c>
      <c r="C3" s="5" t="str">
        <f>T('6_długot.'!B2)</f>
        <v>powiaty</v>
      </c>
      <c r="D3" s="5" t="str">
        <f>T('6_długot.'!C2)</f>
        <v>liczba bezrobotnych pow. 12 m-cy stan na 31 VII '22 r.</v>
      </c>
      <c r="E3" s="5" t="str">
        <f>T('6_długot.'!D2)</f>
        <v>liczba bezrobotnych pow. 12 m-cy stan na 30 VI '22 r.</v>
      </c>
      <c r="F3" s="5" t="str">
        <f>T('6_długot.'!E2)</f>
        <v>wzrost/spadek do poprzedniego  miesiąca</v>
      </c>
      <c r="G3" s="5" t="str">
        <f>T('6_długot.'!F2)</f>
        <v>liczba bezrobotnych pow. 12 m-cy,  stan na 31 VII '21 r.</v>
      </c>
      <c r="H3" s="5" t="str">
        <f>T('6_długot.'!G2)</f>
        <v>wzrost/spadek do analogicznego okresu ubr.</v>
      </c>
    </row>
    <row r="4" spans="2:8" x14ac:dyDescent="0.2">
      <c r="B4" s="10">
        <f>RANK('6_długot.'!C3,'6_długot.'!$C$3:'6_długot.'!$C$28,1)+COUNTIF('6_długot.'!$C$3:'6_długot.'!C3,'6_długot.'!C3)-1</f>
        <v>2</v>
      </c>
      <c r="C4" s="8" t="str">
        <f>INDEX('6_długot.'!B3:G28,MATCH(1,B4:B29,0),1)</f>
        <v>Krosno</v>
      </c>
      <c r="D4" s="39">
        <f>INDEX('6_długot.'!B3:G28,MATCH(1,B4:B29,0),2)</f>
        <v>342</v>
      </c>
      <c r="E4" s="9">
        <f>INDEX('6_długot.'!B3:G28,MATCH(1,B4:B29,0),3)</f>
        <v>348</v>
      </c>
      <c r="F4" s="10">
        <f>INDEX('6_długot.'!B3:G28,MATCH(1,B4:B29,0),4)</f>
        <v>-6</v>
      </c>
      <c r="G4" s="9">
        <f>INDEX('6_długot.'!B3:G28,MATCH(1,B4:B29,0),5)</f>
        <v>380</v>
      </c>
      <c r="H4" s="10">
        <f>INDEX('6_długot.'!B3:G28,MATCH(1,B4:B29,0),6)</f>
        <v>-38</v>
      </c>
    </row>
    <row r="5" spans="2:8" x14ac:dyDescent="0.2">
      <c r="B5" s="10">
        <f>RANK('6_długot.'!C4,'6_długot.'!$C$3:'6_długot.'!$C$28,1)+COUNTIF('6_długot.'!$C$3:'6_długot.'!C4,'6_długot.'!C4)-1</f>
        <v>21</v>
      </c>
      <c r="C5" s="8" t="str">
        <f>INDEX('6_długot.'!B3:G28,MATCH(2,B4:B29,0),1)</f>
        <v>bieszczadzki</v>
      </c>
      <c r="D5" s="10">
        <f>INDEX('6_długot.'!B3:G28,MATCH(2,B4:B29,0),2)</f>
        <v>644</v>
      </c>
      <c r="E5" s="9">
        <f>INDEX('6_długot.'!B3:G28,MATCH(2,B4:B29,0),3)</f>
        <v>651</v>
      </c>
      <c r="F5" s="10">
        <f>INDEX('6_długot.'!B3:G28,MATCH(2,B4:B29,0),4)</f>
        <v>-7</v>
      </c>
      <c r="G5" s="9">
        <f>INDEX('6_długot.'!B3:G28,MATCH(2,B4:B29,0),5)</f>
        <v>755</v>
      </c>
      <c r="H5" s="10">
        <f>INDEX('6_długot.'!B3:G28,MATCH(2,B4:B29,0),6)</f>
        <v>-111</v>
      </c>
    </row>
    <row r="6" spans="2:8" x14ac:dyDescent="0.2">
      <c r="B6" s="10">
        <f>RANK('6_długot.'!C5,'6_długot.'!$C$3:'6_długot.'!$C$28,1)+COUNTIF('6_długot.'!$C$3:'6_długot.'!C5,'6_długot.'!C5)-1</f>
        <v>10</v>
      </c>
      <c r="C6" s="8" t="str">
        <f>INDEX('6_długot.'!B3:G28,MATCH(3,B4:B29,0),1)</f>
        <v>Tarnobrzeg</v>
      </c>
      <c r="D6" s="10">
        <f>INDEX('6_długot.'!B3:G28,MATCH(3,B4:B29,0),2)</f>
        <v>667</v>
      </c>
      <c r="E6" s="9">
        <f>INDEX('6_długot.'!B3:G28,MATCH(3,B4:B29,0),3)</f>
        <v>684</v>
      </c>
      <c r="F6" s="10">
        <f>INDEX('6_długot.'!B3:G28,MATCH(3,B4:B29,0),4)</f>
        <v>-17</v>
      </c>
      <c r="G6" s="9">
        <f>INDEX('6_długot.'!B3:G28,MATCH(3,B4:B29,0),5)</f>
        <v>786</v>
      </c>
      <c r="H6" s="10">
        <f>INDEX('6_długot.'!B3:G28,MATCH(3,B4:B29,0),6)</f>
        <v>-119</v>
      </c>
    </row>
    <row r="7" spans="2:8" x14ac:dyDescent="0.2">
      <c r="B7" s="10">
        <f>RANK('6_długot.'!C6,'6_długot.'!$C$3:'6_długot.'!$C$28,1)+COUNTIF('6_długot.'!$C$3:'6_długot.'!C6,'6_długot.'!C6)-1</f>
        <v>22</v>
      </c>
      <c r="C7" s="8" t="str">
        <f>INDEX('6_długot.'!B3:G28,MATCH(4,B4:B29,0),1)</f>
        <v xml:space="preserve">tarnobrzeski </v>
      </c>
      <c r="D7" s="10">
        <f>INDEX('6_długot.'!B3:G28,MATCH(4,B4:B29,0),2)</f>
        <v>741</v>
      </c>
      <c r="E7" s="9">
        <f>INDEX('6_długot.'!B3:G28,MATCH(4,B4:B29,0),3)</f>
        <v>780</v>
      </c>
      <c r="F7" s="10">
        <f>INDEX('6_długot.'!B3:G28,MATCH(4,B4:B29,0),4)</f>
        <v>-39</v>
      </c>
      <c r="G7" s="9">
        <f>INDEX('6_długot.'!B3:G28,MATCH(4,B4:B29,0),5)</f>
        <v>877</v>
      </c>
      <c r="H7" s="10">
        <f>INDEX('6_długot.'!B3:G28,MATCH(4,B4:B29,0),6)</f>
        <v>-136</v>
      </c>
    </row>
    <row r="8" spans="2:8" x14ac:dyDescent="0.2">
      <c r="B8" s="10">
        <f>RANK('6_długot.'!C7,'6_długot.'!$C$3:'6_długot.'!$C$28,1)+COUNTIF('6_długot.'!$C$3:'6_długot.'!C7,'6_długot.'!C7)-1</f>
        <v>24</v>
      </c>
      <c r="C8" s="8" t="str">
        <f>INDEX('6_długot.'!B3:G28,MATCH(5,B4:B29,0),1)</f>
        <v>kolbuszowski</v>
      </c>
      <c r="D8" s="10">
        <f>INDEX('6_długot.'!B3:G28,MATCH(5,B4:B29,0),2)</f>
        <v>854</v>
      </c>
      <c r="E8" s="9">
        <f>INDEX('6_długot.'!B3:G28,MATCH(5,B4:B29,0),3)</f>
        <v>851</v>
      </c>
      <c r="F8" s="10">
        <f>INDEX('6_długot.'!B3:G28,MATCH(5,B4:B29,0),4)</f>
        <v>3</v>
      </c>
      <c r="G8" s="9">
        <f>INDEX('6_długot.'!B3:G28,MATCH(5,B4:B29,0),5)</f>
        <v>943</v>
      </c>
      <c r="H8" s="10">
        <f>INDEX('6_długot.'!B3:G28,MATCH(5,B4:B29,0),6)</f>
        <v>-89</v>
      </c>
    </row>
    <row r="9" spans="2:8" x14ac:dyDescent="0.2">
      <c r="B9" s="10">
        <f>RANK('6_długot.'!C8,'6_długot.'!$C$3:'6_długot.'!$C$28,1)+COUNTIF('6_długot.'!$C$3:'6_długot.'!C8,'6_długot.'!C8)-1</f>
        <v>5</v>
      </c>
      <c r="C9" s="8" t="str">
        <f>INDEX('6_długot.'!B3:G28,MATCH(6,B4:B29,0),1)</f>
        <v>stalowowolski</v>
      </c>
      <c r="D9" s="10">
        <f>INDEX('6_długot.'!B3:G28,MATCH(6,B4:B29,0),2)</f>
        <v>895</v>
      </c>
      <c r="E9" s="9">
        <f>INDEX('6_długot.'!B3:G28,MATCH(6,B4:B29,0),3)</f>
        <v>898</v>
      </c>
      <c r="F9" s="10">
        <f>INDEX('6_długot.'!B3:G28,MATCH(6,B4:B29,0),4)</f>
        <v>-3</v>
      </c>
      <c r="G9" s="9">
        <f>INDEX('6_długot.'!B3:G28,MATCH(6,B4:B29,0),5)</f>
        <v>1110</v>
      </c>
      <c r="H9" s="10">
        <f>INDEX('6_długot.'!B3:G28,MATCH(6,B4:B29,0),6)</f>
        <v>-215</v>
      </c>
    </row>
    <row r="10" spans="2:8" x14ac:dyDescent="0.2">
      <c r="B10" s="10">
        <f>RANK('6_długot.'!C9,'6_długot.'!$C$3:'6_długot.'!$C$28,1)+COUNTIF('6_długot.'!$C$3:'6_długot.'!C9,'6_długot.'!C9)-1</f>
        <v>8</v>
      </c>
      <c r="C10" s="13" t="str">
        <f>INDEX('6_długot.'!B3:G28,MATCH(7,B4:B29,0),1)</f>
        <v>lubaczowski</v>
      </c>
      <c r="D10" s="10">
        <f>INDEX('6_długot.'!B3:G28,MATCH(7,B4:B29,0),2)</f>
        <v>936</v>
      </c>
      <c r="E10" s="9">
        <f>INDEX('6_długot.'!B3:G28,MATCH(7,B4:B29,0),3)</f>
        <v>982</v>
      </c>
      <c r="F10" s="10">
        <f>INDEX('6_długot.'!B3:G28,MATCH(7,B4:B29,0),4)</f>
        <v>-46</v>
      </c>
      <c r="G10" s="9">
        <f>INDEX('6_długot.'!B3:G28,MATCH(7,B4:B29,0),5)</f>
        <v>1067</v>
      </c>
      <c r="H10" s="10">
        <f>INDEX('6_długot.'!B3:G28,MATCH(7,B4:B29,0),6)</f>
        <v>-131</v>
      </c>
    </row>
    <row r="11" spans="2:8" x14ac:dyDescent="0.2">
      <c r="B11" s="10">
        <f>RANK('6_długot.'!C10,'6_długot.'!$C$3:'6_długot.'!$C$28,1)+COUNTIF('6_długot.'!$C$3:'6_długot.'!C10,'6_długot.'!C10)-1</f>
        <v>9</v>
      </c>
      <c r="C11" s="8" t="str">
        <f>INDEX('6_długot.'!B3:G28,MATCH(8,B4:B29,0),1)</f>
        <v>krośnieński</v>
      </c>
      <c r="D11" s="10">
        <f>INDEX('6_długot.'!B3:G28,MATCH(8,B4:B29,0),2)</f>
        <v>950</v>
      </c>
      <c r="E11" s="9">
        <f>INDEX('6_długot.'!B3:G28,MATCH(8,B4:B29,0),3)</f>
        <v>954</v>
      </c>
      <c r="F11" s="10">
        <f>INDEX('6_długot.'!B3:G28,MATCH(8,B4:B29,0),4)</f>
        <v>-4</v>
      </c>
      <c r="G11" s="9">
        <f>INDEX('6_długot.'!B3:G28,MATCH(8,B4:B29,0),5)</f>
        <v>1015</v>
      </c>
      <c r="H11" s="10">
        <f>INDEX('6_długot.'!B3:G28,MATCH(8,B4:B29,0),6)</f>
        <v>-65</v>
      </c>
    </row>
    <row r="12" spans="2:8" x14ac:dyDescent="0.2">
      <c r="B12" s="10">
        <f>RANK('6_długot.'!C11,'6_długot.'!$C$3:'6_długot.'!$C$28,1)+COUNTIF('6_długot.'!$C$3:'6_długot.'!C11,'6_długot.'!C11)-1</f>
        <v>18</v>
      </c>
      <c r="C12" s="8" t="str">
        <f>INDEX('6_długot.'!B3:G28,MATCH(9,B4:B29,0),1)</f>
        <v>leski</v>
      </c>
      <c r="D12" s="10">
        <f>INDEX('6_długot.'!B3:G28,MATCH(9,B4:B29,0),2)</f>
        <v>1016</v>
      </c>
      <c r="E12" s="9">
        <f>INDEX('6_długot.'!B3:G28,MATCH(9,B4:B29,0),3)</f>
        <v>1022</v>
      </c>
      <c r="F12" s="10">
        <f>INDEX('6_długot.'!B3:G28,MATCH(9,B4:B29,0),4)</f>
        <v>-6</v>
      </c>
      <c r="G12" s="9">
        <f>INDEX('6_długot.'!B3:G28,MATCH(9,B4:B29,0),5)</f>
        <v>1028</v>
      </c>
      <c r="H12" s="10">
        <f>INDEX('6_długot.'!B3:G28,MATCH(9,B4:B29,0),6)</f>
        <v>-12</v>
      </c>
    </row>
    <row r="13" spans="2:8" x14ac:dyDescent="0.2">
      <c r="B13" s="10">
        <f>RANK('6_długot.'!C12,'6_długot.'!$C$3:'6_długot.'!$C$28,1)+COUNTIF('6_długot.'!$C$3:'6_długot.'!C12,'6_długot.'!C12)-1</f>
        <v>7</v>
      </c>
      <c r="C13" s="8" t="str">
        <f>INDEX('6_długot.'!B3:G28,MATCH(10,B4:B29,0),1)</f>
        <v>dębicki</v>
      </c>
      <c r="D13" s="10">
        <f>INDEX('6_długot.'!B3:G28,MATCH(10,B4:B29,0),2)</f>
        <v>1172</v>
      </c>
      <c r="E13" s="9">
        <f>INDEX('6_długot.'!B3:G28,MATCH(10,B4:B29,0),3)</f>
        <v>1204</v>
      </c>
      <c r="F13" s="10">
        <f>INDEX('6_długot.'!B3:G28,MATCH(10,B4:B29,0),4)</f>
        <v>-32</v>
      </c>
      <c r="G13" s="9">
        <f>INDEX('6_długot.'!B3:G28,MATCH(10,B4:B29,0),5)</f>
        <v>1499</v>
      </c>
      <c r="H13" s="10">
        <f>INDEX('6_długot.'!B3:G28,MATCH(10,B4:B29,0),6)</f>
        <v>-327</v>
      </c>
    </row>
    <row r="14" spans="2:8" x14ac:dyDescent="0.2">
      <c r="B14" s="10">
        <f>RANK('6_długot.'!C13,'6_długot.'!$C$3:'6_długot.'!$C$28,1)+COUNTIF('6_długot.'!$C$3:'6_długot.'!C13,'6_długot.'!C13)-1</f>
        <v>13</v>
      </c>
      <c r="C14" s="8" t="str">
        <f>INDEX('6_długot.'!B3:G28,MATCH(11,B4:B29,0),1)</f>
        <v>sanocki</v>
      </c>
      <c r="D14" s="10">
        <f>INDEX('6_długot.'!B3:G28,MATCH(11,B4:B29,0),2)</f>
        <v>1243</v>
      </c>
      <c r="E14" s="9">
        <f>INDEX('6_długot.'!B3:G28,MATCH(11,B4:B29,0),3)</f>
        <v>1269</v>
      </c>
      <c r="F14" s="10">
        <f>INDEX('6_długot.'!B3:G28,MATCH(11,B4:B29,0),4)</f>
        <v>-26</v>
      </c>
      <c r="G14" s="9">
        <f>INDEX('6_długot.'!B3:G28,MATCH(11,B4:B29,0),5)</f>
        <v>1463</v>
      </c>
      <c r="H14" s="10">
        <f>INDEX('6_długot.'!B3:G28,MATCH(11,B4:B29,0),6)</f>
        <v>-220</v>
      </c>
    </row>
    <row r="15" spans="2:8" x14ac:dyDescent="0.2">
      <c r="B15" s="10">
        <f>RANK('6_długot.'!C14,'6_długot.'!$C$3:'6_długot.'!$C$28,1)+COUNTIF('6_długot.'!$C$3:'6_długot.'!C14,'6_długot.'!C14)-1</f>
        <v>12</v>
      </c>
      <c r="C15" s="8" t="str">
        <f>INDEX('6_długot.'!B3:G28,MATCH(12,B4:B29,0),1)</f>
        <v>mielecki</v>
      </c>
      <c r="D15" s="10">
        <f>INDEX('6_długot.'!B3:G28,MATCH(12,B4:B29,0),2)</f>
        <v>1301</v>
      </c>
      <c r="E15" s="9">
        <f>INDEX('6_długot.'!B3:G28,MATCH(12,B4:B29,0),3)</f>
        <v>1287</v>
      </c>
      <c r="F15" s="10">
        <f>INDEX('6_długot.'!B3:G28,MATCH(12,B4:B29,0),4)</f>
        <v>14</v>
      </c>
      <c r="G15" s="9">
        <f>INDEX('6_długot.'!B3:G28,MATCH(12,B4:B29,0),5)</f>
        <v>1521</v>
      </c>
      <c r="H15" s="10">
        <f>INDEX('6_długot.'!B3:G28,MATCH(12,B4:B29,0),6)</f>
        <v>-220</v>
      </c>
    </row>
    <row r="16" spans="2:8" x14ac:dyDescent="0.2">
      <c r="B16" s="10">
        <f>RANK('6_długot.'!C15,'6_długot.'!$C$3:'6_długot.'!$C$28,1)+COUNTIF('6_długot.'!$C$3:'6_długot.'!C15,'6_długot.'!C15)-1</f>
        <v>17</v>
      </c>
      <c r="C16" s="8" t="str">
        <f>INDEX('6_długot.'!B3:G28,MATCH(13,B4:B29,0),1)</f>
        <v>łańcucki</v>
      </c>
      <c r="D16" s="10">
        <f>INDEX('6_długot.'!B3:G28,MATCH(13,B4:B29,0),2)</f>
        <v>1526</v>
      </c>
      <c r="E16" s="9">
        <f>INDEX('6_długot.'!B3:G28,MATCH(13,B4:B29,0),3)</f>
        <v>1601</v>
      </c>
      <c r="F16" s="10">
        <f>INDEX('6_długot.'!B3:G28,MATCH(13,B4:B29,0),4)</f>
        <v>-75</v>
      </c>
      <c r="G16" s="9">
        <f>INDEX('6_długot.'!B3:G28,MATCH(13,B4:B29,0),5)</f>
        <v>2027</v>
      </c>
      <c r="H16" s="10">
        <f>INDEX('6_długot.'!B3:G28,MATCH(13,B4:B29,0),6)</f>
        <v>-501</v>
      </c>
    </row>
    <row r="17" spans="2:8" x14ac:dyDescent="0.2">
      <c r="B17" s="10">
        <f>RANK('6_długot.'!C16,'6_długot.'!$C$3:'6_długot.'!$C$28,1)+COUNTIF('6_długot.'!$C$3:'6_długot.'!C16,'6_długot.'!C16)-1</f>
        <v>16</v>
      </c>
      <c r="C17" s="8" t="str">
        <f>INDEX('6_długot.'!B3:G28,MATCH(14,B4:B29,0),1)</f>
        <v>Przemyśl</v>
      </c>
      <c r="D17" s="10">
        <f>INDEX('6_długot.'!B3:G28,MATCH(14,B4:B29,0),2)</f>
        <v>1695</v>
      </c>
      <c r="E17" s="9">
        <f>INDEX('6_długot.'!B3:G28,MATCH(14,B4:B29,0),3)</f>
        <v>1733</v>
      </c>
      <c r="F17" s="10">
        <f>INDEX('6_długot.'!B3:G28,MATCH(14,B4:B29,0),4)</f>
        <v>-38</v>
      </c>
      <c r="G17" s="9">
        <f>INDEX('6_długot.'!B3:G28,MATCH(14,B4:B29,0),5)</f>
        <v>2008</v>
      </c>
      <c r="H17" s="10">
        <f>INDEX('6_długot.'!B3:G28,MATCH(14,B4:B29,0),6)</f>
        <v>-313</v>
      </c>
    </row>
    <row r="18" spans="2:8" x14ac:dyDescent="0.2">
      <c r="B18" s="10">
        <f>RANK('6_długot.'!C17,'6_długot.'!$C$3:'6_długot.'!$C$28,1)+COUNTIF('6_długot.'!$C$3:'6_długot.'!C17,'6_długot.'!C17)-1</f>
        <v>20</v>
      </c>
      <c r="C18" s="8" t="str">
        <f>INDEX('6_długot.'!B3:G28,MATCH(15,B4:B29,0),1)</f>
        <v>ropczycko-sędziszowski</v>
      </c>
      <c r="D18" s="10">
        <f>INDEX('6_długot.'!B3:G28,MATCH(15,B4:B29,0),2)</f>
        <v>1772</v>
      </c>
      <c r="E18" s="9">
        <f>INDEX('6_długot.'!B3:G28,MATCH(15,B4:B29,0),3)</f>
        <v>1792</v>
      </c>
      <c r="F18" s="10">
        <f>INDEX('6_długot.'!B3:G28,MATCH(15,B4:B29,0),4)</f>
        <v>-20</v>
      </c>
      <c r="G18" s="9">
        <f>INDEX('6_długot.'!B3:G28,MATCH(15,B4:B29,0),5)</f>
        <v>1944</v>
      </c>
      <c r="H18" s="10">
        <f>INDEX('6_długot.'!B3:G28,MATCH(15,B4:B29,0),6)</f>
        <v>-172</v>
      </c>
    </row>
    <row r="19" spans="2:8" x14ac:dyDescent="0.2">
      <c r="B19" s="10">
        <f>RANK('6_długot.'!C18,'6_długot.'!$C$3:'6_długot.'!$C$28,1)+COUNTIF('6_długot.'!$C$3:'6_długot.'!C18,'6_długot.'!C18)-1</f>
        <v>15</v>
      </c>
      <c r="C19" s="8" t="str">
        <f>INDEX('6_długot.'!B3:G28,MATCH(16,B4:B29,0),1)</f>
        <v>przemyski</v>
      </c>
      <c r="D19" s="10">
        <f>INDEX('6_długot.'!B3:G28,MATCH(16,B4:B29,0),2)</f>
        <v>1880</v>
      </c>
      <c r="E19" s="9">
        <f>INDEX('6_długot.'!B3:G28,MATCH(16,B4:B29,0),3)</f>
        <v>1962</v>
      </c>
      <c r="F19" s="10">
        <f>INDEX('6_długot.'!B3:G28,MATCH(16,B4:B29,0),4)</f>
        <v>-82</v>
      </c>
      <c r="G19" s="9">
        <f>INDEX('6_długot.'!B3:G28,MATCH(16,B4:B29,0),5)</f>
        <v>2191</v>
      </c>
      <c r="H19" s="10">
        <f>INDEX('6_długot.'!B3:G28,MATCH(16,B4:B29,0),6)</f>
        <v>-311</v>
      </c>
    </row>
    <row r="20" spans="2:8" x14ac:dyDescent="0.2">
      <c r="B20" s="10">
        <f>RANK('6_długot.'!C19,'6_długot.'!$C$3:'6_długot.'!$C$28,1)+COUNTIF('6_długot.'!$C$3:'6_długot.'!C19,'6_długot.'!C19)-1</f>
        <v>23</v>
      </c>
      <c r="C20" s="8" t="str">
        <f>INDEX('6_długot.'!B3:G28,MATCH(17,B4:B29,0),1)</f>
        <v>niżański</v>
      </c>
      <c r="D20" s="10">
        <f>INDEX('6_długot.'!B3:G28,MATCH(17,B4:B29,0),2)</f>
        <v>1895</v>
      </c>
      <c r="E20" s="9">
        <f>INDEX('6_długot.'!B3:G28,MATCH(17,B4:B29,0),3)</f>
        <v>1906</v>
      </c>
      <c r="F20" s="10">
        <f>INDEX('6_długot.'!B3:G28,MATCH(17,B4:B29,0),4)</f>
        <v>-11</v>
      </c>
      <c r="G20" s="9">
        <f>INDEX('6_długot.'!B3:G28,MATCH(17,B4:B29,0),5)</f>
        <v>2142</v>
      </c>
      <c r="H20" s="10">
        <f>INDEX('6_długot.'!B3:G28,MATCH(17,B4:B29,0),6)</f>
        <v>-247</v>
      </c>
    </row>
    <row r="21" spans="2:8" x14ac:dyDescent="0.2">
      <c r="B21" s="10">
        <f>RANK('6_długot.'!C20,'6_długot.'!$C$3:'6_długot.'!$C$28,1)+COUNTIF('6_długot.'!$C$3:'6_długot.'!C20,'6_długot.'!C20)-1</f>
        <v>11</v>
      </c>
      <c r="C21" s="8" t="str">
        <f>INDEX('6_długot.'!B3:G28,MATCH(18,B4:B29,0),1)</f>
        <v>leżajski</v>
      </c>
      <c r="D21" s="10">
        <f>INDEX('6_długot.'!B3:G28,MATCH(18,B4:B29,0),2)</f>
        <v>2047</v>
      </c>
      <c r="E21" s="9">
        <f>INDEX('6_długot.'!B3:G28,MATCH(18,B4:B29,0),3)</f>
        <v>2077</v>
      </c>
      <c r="F21" s="10">
        <f>INDEX('6_długot.'!B3:G28,MATCH(18,B4:B29,0),4)</f>
        <v>-30</v>
      </c>
      <c r="G21" s="9">
        <f>INDEX('6_długot.'!B3:G28,MATCH(18,B4:B29,0),5)</f>
        <v>2233</v>
      </c>
      <c r="H21" s="10">
        <f>INDEX('6_długot.'!B3:G28,MATCH(18,B4:B29,0),6)</f>
        <v>-186</v>
      </c>
    </row>
    <row r="22" spans="2:8" x14ac:dyDescent="0.2">
      <c r="B22" s="10">
        <f>RANK('6_długot.'!C21,'6_długot.'!$C$3:'6_długot.'!$C$28,1)+COUNTIF('6_długot.'!$C$3:'6_długot.'!C21,'6_długot.'!C21)-1</f>
        <v>6</v>
      </c>
      <c r="C22" s="8" t="str">
        <f>INDEX('6_długot.'!B3:G28,MATCH(19,B4:B29,0),1)</f>
        <v>strzyżowski</v>
      </c>
      <c r="D22" s="10">
        <f>INDEX('6_długot.'!B3:G28,MATCH(19,B4:B29,0),2)</f>
        <v>2160</v>
      </c>
      <c r="E22" s="9">
        <f>INDEX('6_długot.'!B3:G28,MATCH(19,B4:B29,0),3)</f>
        <v>2188</v>
      </c>
      <c r="F22" s="10">
        <f>INDEX('6_długot.'!B3:G28,MATCH(19,B4:B29,0),4)</f>
        <v>-28</v>
      </c>
      <c r="G22" s="9">
        <f>INDEX('6_długot.'!B3:G28,MATCH(19,B4:B29,0),5)</f>
        <v>2374</v>
      </c>
      <c r="H22" s="10">
        <f>INDEX('6_długot.'!B3:G28,MATCH(19,B4:B29,0),6)</f>
        <v>-214</v>
      </c>
    </row>
    <row r="23" spans="2:8" x14ac:dyDescent="0.2">
      <c r="B23" s="10">
        <f>RANK('6_długot.'!C22,'6_długot.'!$C$3:'6_długot.'!$C$28,1)+COUNTIF('6_długot.'!$C$3:'6_długot.'!C22,'6_długot.'!C22)-1</f>
        <v>19</v>
      </c>
      <c r="C23" s="8" t="str">
        <f>INDEX('6_długot.'!B3:G28,MATCH(20,B4:B29,0),1)</f>
        <v>przeworski</v>
      </c>
      <c r="D23" s="10">
        <f>INDEX('6_długot.'!B3:G28,MATCH(20,B4:B29,0),2)</f>
        <v>2224</v>
      </c>
      <c r="E23" s="9">
        <f>INDEX('6_długot.'!B3:G28,MATCH(20,B4:B29,0),3)</f>
        <v>2227</v>
      </c>
      <c r="F23" s="10">
        <f>INDEX('6_długot.'!B3:G28,MATCH(20,B4:B29,0),4)</f>
        <v>-3</v>
      </c>
      <c r="G23" s="9">
        <f>INDEX('6_długot.'!B3:G28,MATCH(20,B4:B29,0),5)</f>
        <v>2436</v>
      </c>
      <c r="H23" s="10">
        <f>INDEX('6_długot.'!B3:G28,MATCH(20,B4:B29,0),6)</f>
        <v>-212</v>
      </c>
    </row>
    <row r="24" spans="2:8" x14ac:dyDescent="0.2">
      <c r="B24" s="10">
        <f>RANK('6_długot.'!C23,'6_długot.'!$C$3:'6_długot.'!$C$28,1)+COUNTIF('6_długot.'!$C$3:'6_długot.'!C23,'6_długot.'!C23)-1</f>
        <v>4</v>
      </c>
      <c r="C24" s="8" t="str">
        <f>INDEX('6_długot.'!B3:G28,MATCH(21,B4:B29,0),1)</f>
        <v>brzozowski</v>
      </c>
      <c r="D24" s="10">
        <f>INDEX('6_długot.'!B3:G28,MATCH(21,B4:B29,0),2)</f>
        <v>2630</v>
      </c>
      <c r="E24" s="9">
        <f>INDEX('6_długot.'!B3:G28,MATCH(21,B4:B29,0),3)</f>
        <v>2617</v>
      </c>
      <c r="F24" s="10">
        <f>INDEX('6_długot.'!B3:G28,MATCH(21,B4:B29,0),4)</f>
        <v>13</v>
      </c>
      <c r="G24" s="9">
        <f>INDEX('6_długot.'!B3:G28,MATCH(21,B4:B29,0),5)</f>
        <v>2704</v>
      </c>
      <c r="H24" s="10">
        <f>INDEX('6_długot.'!B3:G28,MATCH(21,B4:B29,0),6)</f>
        <v>-74</v>
      </c>
    </row>
    <row r="25" spans="2:8" x14ac:dyDescent="0.2">
      <c r="B25" s="10">
        <f>RANK('6_długot.'!C24,'6_długot.'!$C$3:'6_długot.'!$C$28,1)+COUNTIF('6_długot.'!$C$3:'6_długot.'!C24,'6_długot.'!C24)-1</f>
        <v>1</v>
      </c>
      <c r="C25" s="8" t="str">
        <f>INDEX('6_długot.'!B3:G28,MATCH(22,B4:B29,0),1)</f>
        <v>jarosławski</v>
      </c>
      <c r="D25" s="10">
        <f>INDEX('6_długot.'!B3:G28,MATCH(22,B4:B29,0),2)</f>
        <v>2926</v>
      </c>
      <c r="E25" s="9">
        <f>INDEX('6_długot.'!B3:G28,MATCH(22,B4:B29,0),3)</f>
        <v>2937</v>
      </c>
      <c r="F25" s="10">
        <f>INDEX('6_długot.'!B3:G28,MATCH(22,B4:B29,0),4)</f>
        <v>-11</v>
      </c>
      <c r="G25" s="9">
        <f>INDEX('6_długot.'!B3:G28,MATCH(22,B4:B29,0),5)</f>
        <v>3517</v>
      </c>
      <c r="H25" s="10">
        <f>INDEX('6_długot.'!B3:G28,MATCH(22,B4:B29,0),6)</f>
        <v>-591</v>
      </c>
    </row>
    <row r="26" spans="2:8" x14ac:dyDescent="0.2">
      <c r="B26" s="10">
        <f>RANK('6_długot.'!C25,'6_długot.'!$C$3:'6_długot.'!$C$28,1)+COUNTIF('6_długot.'!$C$3:'6_długot.'!C25,'6_długot.'!C25)-1</f>
        <v>14</v>
      </c>
      <c r="C26" s="8" t="str">
        <f>INDEX('6_długot.'!B3:G28,MATCH(23,B4:B29,0),1)</f>
        <v>rzeszowski</v>
      </c>
      <c r="D26" s="10">
        <f>INDEX('6_długot.'!B3:G28,MATCH(23,B4:B29,0),2)</f>
        <v>3121</v>
      </c>
      <c r="E26" s="9">
        <f>INDEX('6_długot.'!B3:G28,MATCH(23,B4:B29,0),3)</f>
        <v>3170</v>
      </c>
      <c r="F26" s="10">
        <f>INDEX('6_długot.'!B3:G28,MATCH(23,B4:B29,0),4)</f>
        <v>-49</v>
      </c>
      <c r="G26" s="9">
        <f>INDEX('6_długot.'!B3:G28,MATCH(23,B4:B29,0),5)</f>
        <v>3877</v>
      </c>
      <c r="H26" s="10">
        <f>INDEX('6_długot.'!B3:G28,MATCH(23,B4:B29,0),6)</f>
        <v>-756</v>
      </c>
    </row>
    <row r="27" spans="2:8" x14ac:dyDescent="0.2">
      <c r="B27" s="10">
        <f>RANK('6_długot.'!C26,'6_długot.'!$C$3:'6_długot.'!$C$28,1)+COUNTIF('6_długot.'!$C$3:'6_długot.'!C26,'6_długot.'!C26)-1</f>
        <v>25</v>
      </c>
      <c r="C27" s="8" t="str">
        <f>INDEX('6_długot.'!B3:G28,MATCH(24,B4:B29,0),1)</f>
        <v>jasielski</v>
      </c>
      <c r="D27" s="10">
        <f>INDEX('6_długot.'!B3:G28,MATCH(24,B4:B29,0),2)</f>
        <v>3167</v>
      </c>
      <c r="E27" s="9">
        <f>INDEX('6_długot.'!B3:G28,MATCH(24,B4:B29,0),3)</f>
        <v>3179</v>
      </c>
      <c r="F27" s="10">
        <f>INDEX('6_długot.'!B3:G28,MATCH(24,B4:B29,0),4)</f>
        <v>-12</v>
      </c>
      <c r="G27" s="9">
        <f>INDEX('6_długot.'!B3:G28,MATCH(24,B4:B29,0),5)</f>
        <v>3665</v>
      </c>
      <c r="H27" s="10">
        <f>INDEX('6_długot.'!B3:G28,MATCH(24,B4:B29,0),6)</f>
        <v>-498</v>
      </c>
    </row>
    <row r="28" spans="2:8" x14ac:dyDescent="0.2">
      <c r="B28" s="10">
        <f>RANK('6_długot.'!C27,'6_długot.'!$C$3:'6_długot.'!$C$28,1)+COUNTIF('6_długot.'!$C$3:'6_długot.'!C27,'6_długot.'!C27)-1</f>
        <v>3</v>
      </c>
      <c r="C28" s="8" t="str">
        <f>INDEX('6_długot.'!B3:G28,MATCH(25,B4:B29,0),1)</f>
        <v>Rzeszów</v>
      </c>
      <c r="D28" s="10">
        <f>INDEX('6_długot.'!B3:G28,MATCH(25,B4:B29,0),2)</f>
        <v>3728</v>
      </c>
      <c r="E28" s="9">
        <f>INDEX('6_długot.'!B3:G28,MATCH(25,B4:B29,0),3)</f>
        <v>3780</v>
      </c>
      <c r="F28" s="10">
        <f>INDEX('6_długot.'!B3:G28,MATCH(25,B4:B29,0),4)</f>
        <v>-52</v>
      </c>
      <c r="G28" s="9">
        <f>INDEX('6_długot.'!B3:G28,MATCH(25,B4:B29,0),5)</f>
        <v>4515</v>
      </c>
      <c r="H28" s="10">
        <f>INDEX('6_długot.'!B3:G28,MATCH(25,B4:B29,0),6)</f>
        <v>-787</v>
      </c>
    </row>
    <row r="29" spans="2:8" ht="15" x14ac:dyDescent="0.25">
      <c r="B29" s="34">
        <f>RANK('6_długot.'!C28,'6_długot.'!$C$3:'6_długot.'!$C$28,1)+COUNTIF('6_długot.'!$C$3:'6_długot.'!C28,'6_długot.'!C28)-1</f>
        <v>26</v>
      </c>
      <c r="C29" s="35" t="str">
        <f>INDEX('6_długot.'!B3:G28,MATCH(26,B4:B29,0),1)</f>
        <v>województwo</v>
      </c>
      <c r="D29" s="34">
        <f>INDEX('6_długot.'!B3:G28,MATCH(26,B4:B29,0),2)</f>
        <v>41532</v>
      </c>
      <c r="E29" s="17">
        <f>INDEX('6_długot.'!B3:G28,MATCH(26,B4:B29,0),3)</f>
        <v>42099</v>
      </c>
      <c r="F29" s="34">
        <f>INDEX('6_długot.'!B3:G28,MATCH(26,B4:B29,0),4)</f>
        <v>-567</v>
      </c>
      <c r="G29" s="17">
        <f>INDEX('6_długot.'!B3:G28,MATCH(26,B4:B29,0),5)</f>
        <v>48077</v>
      </c>
      <c r="H29" s="34">
        <f>INDEX('6_długot.'!B3:G28,MATCH(26,B4:B29,0),6)</f>
        <v>-6545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5.42578125" style="3" customWidth="1"/>
    <col min="4" max="4" width="15.28515625" style="3" customWidth="1"/>
    <col min="5" max="5" width="16.28515625" style="3" customWidth="1"/>
    <col min="6" max="6" width="15" style="3" customWidth="1"/>
    <col min="7" max="7" width="17.85546875" style="3" customWidth="1"/>
    <col min="8" max="16384" width="9.140625" style="3"/>
  </cols>
  <sheetData>
    <row r="1" spans="2:8" ht="20.25" customHeight="1" x14ac:dyDescent="0.2">
      <c r="B1" s="1" t="s">
        <v>97</v>
      </c>
      <c r="C1" s="72"/>
      <c r="D1" s="72"/>
      <c r="E1" s="72"/>
      <c r="F1" s="72"/>
      <c r="G1" s="72"/>
    </row>
    <row r="2" spans="2:8" ht="57" x14ac:dyDescent="0.2">
      <c r="B2" s="5" t="s">
        <v>27</v>
      </c>
      <c r="C2" s="6" t="s">
        <v>121</v>
      </c>
      <c r="D2" s="7" t="s">
        <v>105</v>
      </c>
      <c r="E2" s="6" t="s">
        <v>28</v>
      </c>
      <c r="F2" s="7" t="s">
        <v>122</v>
      </c>
      <c r="G2" s="6" t="s">
        <v>26</v>
      </c>
    </row>
    <row r="3" spans="2:8" x14ac:dyDescent="0.2">
      <c r="B3" s="8" t="s">
        <v>0</v>
      </c>
      <c r="C3" s="73">
        <v>274</v>
      </c>
      <c r="D3" s="9">
        <v>277</v>
      </c>
      <c r="E3" s="73">
        <f t="shared" ref="E3:E27" si="0">SUM(C3)-D3</f>
        <v>-3</v>
      </c>
      <c r="F3" s="9">
        <v>323</v>
      </c>
      <c r="G3" s="73">
        <f t="shared" ref="G3:G27" si="1">SUM(C3)-F3</f>
        <v>-49</v>
      </c>
      <c r="H3" s="11"/>
    </row>
    <row r="4" spans="2:8" x14ac:dyDescent="0.2">
      <c r="B4" s="8" t="s">
        <v>1</v>
      </c>
      <c r="C4" s="73">
        <v>962</v>
      </c>
      <c r="D4" s="9">
        <v>925</v>
      </c>
      <c r="E4" s="73">
        <f t="shared" si="0"/>
        <v>37</v>
      </c>
      <c r="F4" s="9">
        <v>1032</v>
      </c>
      <c r="G4" s="73">
        <f t="shared" si="1"/>
        <v>-70</v>
      </c>
      <c r="H4" s="11"/>
    </row>
    <row r="5" spans="2:8" x14ac:dyDescent="0.2">
      <c r="B5" s="8" t="s">
        <v>2</v>
      </c>
      <c r="C5" s="73">
        <v>652</v>
      </c>
      <c r="D5" s="9">
        <v>621</v>
      </c>
      <c r="E5" s="73">
        <f t="shared" si="0"/>
        <v>31</v>
      </c>
      <c r="F5" s="9">
        <v>878</v>
      </c>
      <c r="G5" s="73">
        <f t="shared" si="1"/>
        <v>-226</v>
      </c>
      <c r="H5" s="11"/>
    </row>
    <row r="6" spans="2:8" x14ac:dyDescent="0.2">
      <c r="B6" s="8" t="s">
        <v>3</v>
      </c>
      <c r="C6" s="73">
        <v>1173</v>
      </c>
      <c r="D6" s="9">
        <v>1144</v>
      </c>
      <c r="E6" s="73">
        <f t="shared" si="0"/>
        <v>29</v>
      </c>
      <c r="F6" s="9">
        <v>1560</v>
      </c>
      <c r="G6" s="73">
        <f t="shared" si="1"/>
        <v>-387</v>
      </c>
      <c r="H6" s="11"/>
    </row>
    <row r="7" spans="2:8" x14ac:dyDescent="0.2">
      <c r="B7" s="8" t="s">
        <v>4</v>
      </c>
      <c r="C7" s="73">
        <v>1064</v>
      </c>
      <c r="D7" s="9">
        <v>1067</v>
      </c>
      <c r="E7" s="73">
        <f t="shared" si="0"/>
        <v>-3</v>
      </c>
      <c r="F7" s="9">
        <v>1362</v>
      </c>
      <c r="G7" s="73">
        <f t="shared" si="1"/>
        <v>-298</v>
      </c>
      <c r="H7" s="11"/>
    </row>
    <row r="8" spans="2:8" x14ac:dyDescent="0.2">
      <c r="B8" s="8" t="s">
        <v>5</v>
      </c>
      <c r="C8" s="73">
        <v>424</v>
      </c>
      <c r="D8" s="9">
        <v>411</v>
      </c>
      <c r="E8" s="73">
        <f t="shared" si="0"/>
        <v>13</v>
      </c>
      <c r="F8" s="9">
        <v>509</v>
      </c>
      <c r="G8" s="73">
        <f t="shared" si="1"/>
        <v>-85</v>
      </c>
      <c r="H8" s="11"/>
    </row>
    <row r="9" spans="2:8" x14ac:dyDescent="0.2">
      <c r="B9" s="13" t="s">
        <v>6</v>
      </c>
      <c r="C9" s="73">
        <v>404</v>
      </c>
      <c r="D9" s="9">
        <v>381</v>
      </c>
      <c r="E9" s="73">
        <f t="shared" si="0"/>
        <v>23</v>
      </c>
      <c r="F9" s="9">
        <v>536</v>
      </c>
      <c r="G9" s="73">
        <f t="shared" si="1"/>
        <v>-132</v>
      </c>
      <c r="H9" s="11"/>
    </row>
    <row r="10" spans="2:8" x14ac:dyDescent="0.2">
      <c r="B10" s="8" t="s">
        <v>7</v>
      </c>
      <c r="C10" s="73">
        <v>401</v>
      </c>
      <c r="D10" s="9">
        <v>412</v>
      </c>
      <c r="E10" s="73">
        <f t="shared" si="0"/>
        <v>-11</v>
      </c>
      <c r="F10" s="9">
        <v>427</v>
      </c>
      <c r="G10" s="73">
        <f t="shared" si="1"/>
        <v>-26</v>
      </c>
      <c r="H10" s="11"/>
    </row>
    <row r="11" spans="2:8" x14ac:dyDescent="0.2">
      <c r="B11" s="8" t="s">
        <v>8</v>
      </c>
      <c r="C11" s="73">
        <v>848</v>
      </c>
      <c r="D11" s="9">
        <v>898</v>
      </c>
      <c r="E11" s="73">
        <f t="shared" si="0"/>
        <v>-50</v>
      </c>
      <c r="F11" s="9">
        <v>1108</v>
      </c>
      <c r="G11" s="73">
        <f t="shared" si="1"/>
        <v>-260</v>
      </c>
      <c r="H11" s="11"/>
    </row>
    <row r="12" spans="2:8" x14ac:dyDescent="0.2">
      <c r="B12" s="8" t="s">
        <v>9</v>
      </c>
      <c r="C12" s="73">
        <v>400</v>
      </c>
      <c r="D12" s="9">
        <v>423</v>
      </c>
      <c r="E12" s="73">
        <f t="shared" si="0"/>
        <v>-23</v>
      </c>
      <c r="F12" s="9">
        <v>510</v>
      </c>
      <c r="G12" s="73">
        <f t="shared" si="1"/>
        <v>-110</v>
      </c>
      <c r="H12" s="11"/>
    </row>
    <row r="13" spans="2:8" x14ac:dyDescent="0.2">
      <c r="B13" s="8" t="s">
        <v>10</v>
      </c>
      <c r="C13" s="73">
        <v>779</v>
      </c>
      <c r="D13" s="9">
        <v>795</v>
      </c>
      <c r="E13" s="73">
        <f t="shared" si="0"/>
        <v>-16</v>
      </c>
      <c r="F13" s="9">
        <v>970</v>
      </c>
      <c r="G13" s="73">
        <f t="shared" si="1"/>
        <v>-191</v>
      </c>
      <c r="H13" s="11"/>
    </row>
    <row r="14" spans="2:8" x14ac:dyDescent="0.2">
      <c r="B14" s="8" t="s">
        <v>11</v>
      </c>
      <c r="C14" s="73">
        <v>632</v>
      </c>
      <c r="D14" s="9">
        <v>576</v>
      </c>
      <c r="E14" s="73">
        <f t="shared" si="0"/>
        <v>56</v>
      </c>
      <c r="F14" s="9">
        <v>819</v>
      </c>
      <c r="G14" s="73">
        <f t="shared" si="1"/>
        <v>-187</v>
      </c>
      <c r="H14" s="11"/>
    </row>
    <row r="15" spans="2:8" x14ac:dyDescent="0.2">
      <c r="B15" s="8" t="s">
        <v>12</v>
      </c>
      <c r="C15" s="73">
        <v>812</v>
      </c>
      <c r="D15" s="9">
        <v>791</v>
      </c>
      <c r="E15" s="73">
        <f t="shared" si="0"/>
        <v>21</v>
      </c>
      <c r="F15" s="9">
        <v>1001</v>
      </c>
      <c r="G15" s="73">
        <f t="shared" si="1"/>
        <v>-189</v>
      </c>
      <c r="H15" s="11"/>
    </row>
    <row r="16" spans="2:8" x14ac:dyDescent="0.2">
      <c r="B16" s="8" t="s">
        <v>13</v>
      </c>
      <c r="C16" s="73">
        <v>745</v>
      </c>
      <c r="D16" s="9">
        <v>787</v>
      </c>
      <c r="E16" s="73">
        <f t="shared" si="0"/>
        <v>-42</v>
      </c>
      <c r="F16" s="9">
        <v>1009</v>
      </c>
      <c r="G16" s="73">
        <f t="shared" si="1"/>
        <v>-264</v>
      </c>
      <c r="H16" s="11"/>
    </row>
    <row r="17" spans="2:8" x14ac:dyDescent="0.2">
      <c r="B17" s="8" t="s">
        <v>14</v>
      </c>
      <c r="C17" s="73">
        <v>975</v>
      </c>
      <c r="D17" s="9">
        <v>949</v>
      </c>
      <c r="E17" s="73">
        <f t="shared" si="0"/>
        <v>26</v>
      </c>
      <c r="F17" s="9">
        <v>1092</v>
      </c>
      <c r="G17" s="73">
        <f t="shared" si="1"/>
        <v>-117</v>
      </c>
      <c r="H17" s="11"/>
    </row>
    <row r="18" spans="2:8" x14ac:dyDescent="0.2">
      <c r="B18" s="8" t="s">
        <v>15</v>
      </c>
      <c r="C18" s="73">
        <v>830</v>
      </c>
      <c r="D18" s="9">
        <v>826</v>
      </c>
      <c r="E18" s="73">
        <f t="shared" si="0"/>
        <v>4</v>
      </c>
      <c r="F18" s="9">
        <v>959</v>
      </c>
      <c r="G18" s="73">
        <f t="shared" si="1"/>
        <v>-129</v>
      </c>
      <c r="H18" s="11"/>
    </row>
    <row r="19" spans="2:8" x14ac:dyDescent="0.2">
      <c r="B19" s="8" t="s">
        <v>16</v>
      </c>
      <c r="C19" s="73">
        <v>1308</v>
      </c>
      <c r="D19" s="9">
        <v>1310</v>
      </c>
      <c r="E19" s="73">
        <f t="shared" si="0"/>
        <v>-2</v>
      </c>
      <c r="F19" s="9">
        <v>1765</v>
      </c>
      <c r="G19" s="73">
        <f t="shared" si="1"/>
        <v>-457</v>
      </c>
      <c r="H19" s="11"/>
    </row>
    <row r="20" spans="2:8" x14ac:dyDescent="0.2">
      <c r="B20" s="8" t="s">
        <v>17</v>
      </c>
      <c r="C20" s="73">
        <v>618</v>
      </c>
      <c r="D20" s="9">
        <v>590</v>
      </c>
      <c r="E20" s="73">
        <f t="shared" si="0"/>
        <v>28</v>
      </c>
      <c r="F20" s="9">
        <v>651</v>
      </c>
      <c r="G20" s="73">
        <f t="shared" si="1"/>
        <v>-33</v>
      </c>
      <c r="H20" s="11"/>
    </row>
    <row r="21" spans="2:8" x14ac:dyDescent="0.2">
      <c r="B21" s="8" t="s">
        <v>18</v>
      </c>
      <c r="C21" s="73">
        <v>484</v>
      </c>
      <c r="D21" s="9">
        <v>446</v>
      </c>
      <c r="E21" s="73">
        <f t="shared" si="0"/>
        <v>38</v>
      </c>
      <c r="F21" s="9">
        <v>633</v>
      </c>
      <c r="G21" s="73">
        <f t="shared" si="1"/>
        <v>-149</v>
      </c>
      <c r="H21" s="11"/>
    </row>
    <row r="22" spans="2:8" x14ac:dyDescent="0.2">
      <c r="B22" s="8" t="s">
        <v>19</v>
      </c>
      <c r="C22" s="73">
        <v>890</v>
      </c>
      <c r="D22" s="9">
        <v>865</v>
      </c>
      <c r="E22" s="73">
        <f t="shared" si="0"/>
        <v>25</v>
      </c>
      <c r="F22" s="9">
        <v>1047</v>
      </c>
      <c r="G22" s="73">
        <f t="shared" si="1"/>
        <v>-157</v>
      </c>
      <c r="H22" s="11"/>
    </row>
    <row r="23" spans="2:8" x14ac:dyDescent="0.2">
      <c r="B23" s="8" t="s">
        <v>20</v>
      </c>
      <c r="C23" s="73">
        <v>328</v>
      </c>
      <c r="D23" s="9">
        <v>339</v>
      </c>
      <c r="E23" s="73">
        <f t="shared" si="0"/>
        <v>-11</v>
      </c>
      <c r="F23" s="9">
        <v>431</v>
      </c>
      <c r="G23" s="73">
        <f t="shared" si="1"/>
        <v>-103</v>
      </c>
      <c r="H23" s="11"/>
    </row>
    <row r="24" spans="2:8" x14ac:dyDescent="0.2">
      <c r="B24" s="8" t="s">
        <v>21</v>
      </c>
      <c r="C24" s="73">
        <v>117</v>
      </c>
      <c r="D24" s="9">
        <v>113</v>
      </c>
      <c r="E24" s="73">
        <f t="shared" si="0"/>
        <v>4</v>
      </c>
      <c r="F24" s="9">
        <v>145</v>
      </c>
      <c r="G24" s="73">
        <f t="shared" si="1"/>
        <v>-28</v>
      </c>
      <c r="H24" s="11"/>
    </row>
    <row r="25" spans="2:8" x14ac:dyDescent="0.2">
      <c r="B25" s="8" t="s">
        <v>22</v>
      </c>
      <c r="C25" s="73">
        <v>372</v>
      </c>
      <c r="D25" s="9">
        <v>407</v>
      </c>
      <c r="E25" s="73">
        <f t="shared" si="0"/>
        <v>-35</v>
      </c>
      <c r="F25" s="9">
        <v>540</v>
      </c>
      <c r="G25" s="73">
        <f t="shared" si="1"/>
        <v>-168</v>
      </c>
      <c r="H25" s="11"/>
    </row>
    <row r="26" spans="2:8" x14ac:dyDescent="0.2">
      <c r="B26" s="8" t="s">
        <v>23</v>
      </c>
      <c r="C26" s="73">
        <v>1014</v>
      </c>
      <c r="D26" s="9">
        <v>1008</v>
      </c>
      <c r="E26" s="73">
        <f t="shared" si="0"/>
        <v>6</v>
      </c>
      <c r="F26" s="9">
        <v>1452</v>
      </c>
      <c r="G26" s="73">
        <f t="shared" si="1"/>
        <v>-438</v>
      </c>
      <c r="H26" s="11"/>
    </row>
    <row r="27" spans="2:8" x14ac:dyDescent="0.2">
      <c r="B27" s="8" t="s">
        <v>24</v>
      </c>
      <c r="C27" s="73">
        <v>197</v>
      </c>
      <c r="D27" s="9">
        <v>218</v>
      </c>
      <c r="E27" s="73">
        <f t="shared" si="0"/>
        <v>-21</v>
      </c>
      <c r="F27" s="9">
        <v>294</v>
      </c>
      <c r="G27" s="73">
        <f t="shared" si="1"/>
        <v>-97</v>
      </c>
      <c r="H27" s="11"/>
    </row>
    <row r="28" spans="2:8" ht="15" x14ac:dyDescent="0.25">
      <c r="B28" s="15" t="s">
        <v>25</v>
      </c>
      <c r="C28" s="74">
        <f>SUM(C3:C27)</f>
        <v>16703</v>
      </c>
      <c r="D28" s="17">
        <f>SUM(D3:D27)</f>
        <v>16579</v>
      </c>
      <c r="E28" s="74">
        <f>SUM(E3:E27)</f>
        <v>124</v>
      </c>
      <c r="F28" s="17">
        <f>SUM(F3:F27)</f>
        <v>21053</v>
      </c>
      <c r="G28" s="74">
        <f>SUM(G3:G27)</f>
        <v>-4350</v>
      </c>
      <c r="H28" s="11"/>
    </row>
    <row r="29" spans="2:8" x14ac:dyDescent="0.2">
      <c r="E29" s="30"/>
      <c r="F29" s="30"/>
      <c r="G29" s="11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83</v>
      </c>
    </row>
    <row r="2" spans="2:8" ht="15" x14ac:dyDescent="0.2">
      <c r="C2" s="31"/>
      <c r="D2" s="32"/>
    </row>
    <row r="3" spans="2:8" ht="71.25" x14ac:dyDescent="0.2">
      <c r="B3" s="33" t="s">
        <v>88</v>
      </c>
      <c r="C3" s="5" t="str">
        <f>T('7_do 30 r.ż.'!B2)</f>
        <v>powiaty</v>
      </c>
      <c r="D3" s="5" t="str">
        <f>T('7_do 30 r.ż.'!C2)</f>
        <v>liczba bezrobotnych do 30 r. ż. stan na 31 VII '22 r.</v>
      </c>
      <c r="E3" s="5" t="str">
        <f>T('7_do 30 r.ż.'!D2)</f>
        <v>liczba bezrobotnych do 30 r. ż. stan na 30 VI '22 r.</v>
      </c>
      <c r="F3" s="5" t="str">
        <f>T('7_do 30 r.ż.'!E2)</f>
        <v>wzrost/spadek do poprzedniego  miesiąca</v>
      </c>
      <c r="G3" s="5" t="str">
        <f>T('7_do 30 r.ż.'!F2)</f>
        <v>liczba bezrobotnych do 30 r. ż. stan na 31 VII '21 r.</v>
      </c>
      <c r="H3" s="5" t="str">
        <f>T('7_do 30 r.ż.'!G2)</f>
        <v>wzrost/spadek do analogicznego okresu ubr.</v>
      </c>
    </row>
    <row r="4" spans="2:8" x14ac:dyDescent="0.2">
      <c r="B4" s="10">
        <f>RANK('7_do 30 r.ż.'!C3,'7_do 30 r.ż.'!$C$3:'7_do 30 r.ż.'!$C$28,1)+COUNTIF('7_do 30 r.ż.'!$C$3:'7_do 30 r.ż.'!C3,'7_do 30 r.ż.'!C3)-1</f>
        <v>3</v>
      </c>
      <c r="C4" s="8" t="str">
        <f>INDEX('7_do 30 r.ż.'!B3:G28,MATCH(1,B4:B29,0),1)</f>
        <v>Krosno</v>
      </c>
      <c r="D4" s="39">
        <f>INDEX('7_do 30 r.ż.'!B3:G28,MATCH(1,B4:B29,0),2)</f>
        <v>117</v>
      </c>
      <c r="E4" s="9">
        <f>INDEX('7_do 30 r.ż.'!B3:G28,MATCH(1,B4:B29,0),3)</f>
        <v>113</v>
      </c>
      <c r="F4" s="10">
        <f>INDEX('7_do 30 r.ż.'!B3:G28,MATCH(1,B4:B29,0),4)</f>
        <v>4</v>
      </c>
      <c r="G4" s="9">
        <f>INDEX('7_do 30 r.ż.'!B3:G28,MATCH(1,B4:B29,0),5)</f>
        <v>145</v>
      </c>
      <c r="H4" s="10">
        <f>INDEX('7_do 30 r.ż.'!B3:G28,MATCH(1,B4:B29,0),6)</f>
        <v>-28</v>
      </c>
    </row>
    <row r="5" spans="2:8" x14ac:dyDescent="0.2">
      <c r="B5" s="10">
        <f>RANK('7_do 30 r.ż.'!C4,'7_do 30 r.ż.'!$C$3:'7_do 30 r.ż.'!$C$28,1)+COUNTIF('7_do 30 r.ż.'!$C$3:'7_do 30 r.ż.'!C4,'7_do 30 r.ż.'!C4)-1</f>
        <v>20</v>
      </c>
      <c r="C5" s="8" t="str">
        <f>INDEX('7_do 30 r.ż.'!B3:G28,MATCH(2,B4:B29,0),1)</f>
        <v>Tarnobrzeg</v>
      </c>
      <c r="D5" s="10">
        <f>INDEX('7_do 30 r.ż.'!B3:G28,MATCH(2,B4:B29,0),2)</f>
        <v>197</v>
      </c>
      <c r="E5" s="9">
        <f>INDEX('7_do 30 r.ż.'!B3:G28,MATCH(2,B4:B29,0),3)</f>
        <v>218</v>
      </c>
      <c r="F5" s="10">
        <f>INDEX('7_do 30 r.ż.'!B3:G28,MATCH(2,B4:B29,0),4)</f>
        <v>-21</v>
      </c>
      <c r="G5" s="9">
        <f>INDEX('7_do 30 r.ż.'!B3:G28,MATCH(2,B4:B29,0),5)</f>
        <v>294</v>
      </c>
      <c r="H5" s="10">
        <f>INDEX('7_do 30 r.ż.'!B3:G28,MATCH(2,B4:B29,0),6)</f>
        <v>-97</v>
      </c>
    </row>
    <row r="6" spans="2:8" x14ac:dyDescent="0.2">
      <c r="B6" s="10">
        <f>RANK('7_do 30 r.ż.'!C5,'7_do 30 r.ż.'!$C$3:'7_do 30 r.ż.'!$C$28,1)+COUNTIF('7_do 30 r.ż.'!$C$3:'7_do 30 r.ż.'!C5,'7_do 30 r.ż.'!C5)-1</f>
        <v>13</v>
      </c>
      <c r="C6" s="8" t="str">
        <f>INDEX('7_do 30 r.ż.'!B3:G28,MATCH(3,B4:B29,0),1)</f>
        <v>bieszczadzki</v>
      </c>
      <c r="D6" s="10">
        <f>INDEX('7_do 30 r.ż.'!B3:G28,MATCH(3,B4:B29,0),2)</f>
        <v>274</v>
      </c>
      <c r="E6" s="9">
        <f>INDEX('7_do 30 r.ż.'!B3:G28,MATCH(3,B4:B29,0),3)</f>
        <v>277</v>
      </c>
      <c r="F6" s="10">
        <f>INDEX('7_do 30 r.ż.'!B3:G28,MATCH(3,B4:B29,0),4)</f>
        <v>-3</v>
      </c>
      <c r="G6" s="9">
        <f>INDEX('7_do 30 r.ż.'!B3:G28,MATCH(3,B4:B29,0),5)</f>
        <v>323</v>
      </c>
      <c r="H6" s="10">
        <f>INDEX('7_do 30 r.ż.'!B3:G28,MATCH(3,B4:B29,0),6)</f>
        <v>-49</v>
      </c>
    </row>
    <row r="7" spans="2:8" x14ac:dyDescent="0.2">
      <c r="B7" s="10">
        <f>RANK('7_do 30 r.ż.'!C6,'7_do 30 r.ż.'!$C$3:'7_do 30 r.ż.'!$C$28,1)+COUNTIF('7_do 30 r.ż.'!$C$3:'7_do 30 r.ż.'!C6,'7_do 30 r.ż.'!C6)-1</f>
        <v>24</v>
      </c>
      <c r="C7" s="8" t="str">
        <f>INDEX('7_do 30 r.ż.'!B3:G28,MATCH(4,B4:B29,0),1)</f>
        <v xml:space="preserve">tarnobrzeski </v>
      </c>
      <c r="D7" s="10">
        <f>INDEX('7_do 30 r.ż.'!B3:G28,MATCH(4,B4:B29,0),2)</f>
        <v>328</v>
      </c>
      <c r="E7" s="9">
        <f>INDEX('7_do 30 r.ż.'!B3:G28,MATCH(4,B4:B29,0),3)</f>
        <v>339</v>
      </c>
      <c r="F7" s="10">
        <f>INDEX('7_do 30 r.ż.'!B3:G28,MATCH(4,B4:B29,0),4)</f>
        <v>-11</v>
      </c>
      <c r="G7" s="9">
        <f>INDEX('7_do 30 r.ż.'!B3:G28,MATCH(4,B4:B29,0),5)</f>
        <v>431</v>
      </c>
      <c r="H7" s="10">
        <f>INDEX('7_do 30 r.ż.'!B3:G28,MATCH(4,B4:B29,0),6)</f>
        <v>-103</v>
      </c>
    </row>
    <row r="8" spans="2:8" x14ac:dyDescent="0.2">
      <c r="B8" s="10">
        <f>RANK('7_do 30 r.ż.'!C7,'7_do 30 r.ż.'!$C$3:'7_do 30 r.ż.'!$C$28,1)+COUNTIF('7_do 30 r.ż.'!$C$3:'7_do 30 r.ż.'!C7,'7_do 30 r.ż.'!C7)-1</f>
        <v>23</v>
      </c>
      <c r="C8" s="8" t="str">
        <f>INDEX('7_do 30 r.ż.'!B3:G28,MATCH(5,B4:B29,0),1)</f>
        <v>Przemyśl</v>
      </c>
      <c r="D8" s="10">
        <f>INDEX('7_do 30 r.ż.'!B3:G28,MATCH(5,B4:B29,0),2)</f>
        <v>372</v>
      </c>
      <c r="E8" s="9">
        <f>INDEX('7_do 30 r.ż.'!B3:G28,MATCH(5,B4:B29,0),3)</f>
        <v>407</v>
      </c>
      <c r="F8" s="10">
        <f>INDEX('7_do 30 r.ż.'!B3:G28,MATCH(5,B4:B29,0),4)</f>
        <v>-35</v>
      </c>
      <c r="G8" s="9">
        <f>INDEX('7_do 30 r.ż.'!B3:G28,MATCH(5,B4:B29,0),5)</f>
        <v>540</v>
      </c>
      <c r="H8" s="10">
        <f>INDEX('7_do 30 r.ż.'!B3:G28,MATCH(5,B4:B29,0),6)</f>
        <v>-168</v>
      </c>
    </row>
    <row r="9" spans="2:8" x14ac:dyDescent="0.2">
      <c r="B9" s="10">
        <f>RANK('7_do 30 r.ż.'!C8,'7_do 30 r.ż.'!$C$3:'7_do 30 r.ż.'!$C$28,1)+COUNTIF('7_do 30 r.ż.'!$C$3:'7_do 30 r.ż.'!C8,'7_do 30 r.ż.'!C8)-1</f>
        <v>9</v>
      </c>
      <c r="C9" s="8" t="str">
        <f>INDEX('7_do 30 r.ż.'!B3:G28,MATCH(6,B4:B29,0),1)</f>
        <v>lubaczowski</v>
      </c>
      <c r="D9" s="10">
        <f>INDEX('7_do 30 r.ż.'!B3:G28,MATCH(6,B4:B29,0),2)</f>
        <v>400</v>
      </c>
      <c r="E9" s="9">
        <f>INDEX('7_do 30 r.ż.'!B3:G28,MATCH(6,B4:B29,0),3)</f>
        <v>423</v>
      </c>
      <c r="F9" s="10">
        <f>INDEX('7_do 30 r.ż.'!B3:G28,MATCH(6,B4:B29,0),4)</f>
        <v>-23</v>
      </c>
      <c r="G9" s="9">
        <f>INDEX('7_do 30 r.ż.'!B3:G28,MATCH(6,B4:B29,0),5)</f>
        <v>510</v>
      </c>
      <c r="H9" s="10">
        <f>INDEX('7_do 30 r.ż.'!B3:G28,MATCH(6,B4:B29,0),6)</f>
        <v>-110</v>
      </c>
    </row>
    <row r="10" spans="2:8" x14ac:dyDescent="0.2">
      <c r="B10" s="10">
        <f>RANK('7_do 30 r.ż.'!C9,'7_do 30 r.ż.'!$C$3:'7_do 30 r.ż.'!$C$28,1)+COUNTIF('7_do 30 r.ż.'!$C$3:'7_do 30 r.ż.'!C9,'7_do 30 r.ż.'!C9)-1</f>
        <v>8</v>
      </c>
      <c r="C10" s="13" t="str">
        <f>INDEX('7_do 30 r.ż.'!B3:G28,MATCH(7,B4:B29,0),1)</f>
        <v>leski</v>
      </c>
      <c r="D10" s="10">
        <f>INDEX('7_do 30 r.ż.'!B3:G28,MATCH(7,B4:B29,0),2)</f>
        <v>401</v>
      </c>
      <c r="E10" s="9">
        <f>INDEX('7_do 30 r.ż.'!B3:G28,MATCH(7,B4:B29,0),3)</f>
        <v>412</v>
      </c>
      <c r="F10" s="10">
        <f>INDEX('7_do 30 r.ż.'!B3:G28,MATCH(7,B4:B29,0),4)</f>
        <v>-11</v>
      </c>
      <c r="G10" s="9">
        <f>INDEX('7_do 30 r.ż.'!B3:G28,MATCH(7,B4:B29,0),5)</f>
        <v>427</v>
      </c>
      <c r="H10" s="10">
        <f>INDEX('7_do 30 r.ż.'!B3:G28,MATCH(7,B4:B29,0),6)</f>
        <v>-26</v>
      </c>
    </row>
    <row r="11" spans="2:8" x14ac:dyDescent="0.2">
      <c r="B11" s="10">
        <f>RANK('7_do 30 r.ż.'!C10,'7_do 30 r.ż.'!$C$3:'7_do 30 r.ż.'!$C$28,1)+COUNTIF('7_do 30 r.ż.'!$C$3:'7_do 30 r.ż.'!C10,'7_do 30 r.ż.'!C10)-1</f>
        <v>7</v>
      </c>
      <c r="C11" s="8" t="str">
        <f>INDEX('7_do 30 r.ż.'!B3:G28,MATCH(8,B4:B29,0),1)</f>
        <v>krośnieński</v>
      </c>
      <c r="D11" s="10">
        <f>INDEX('7_do 30 r.ż.'!B3:G28,MATCH(8,B4:B29,0),2)</f>
        <v>404</v>
      </c>
      <c r="E11" s="9">
        <f>INDEX('7_do 30 r.ż.'!B3:G28,MATCH(8,B4:B29,0),3)</f>
        <v>381</v>
      </c>
      <c r="F11" s="10">
        <f>INDEX('7_do 30 r.ż.'!B3:G28,MATCH(8,B4:B29,0),4)</f>
        <v>23</v>
      </c>
      <c r="G11" s="9">
        <f>INDEX('7_do 30 r.ż.'!B3:G28,MATCH(8,B4:B29,0),5)</f>
        <v>536</v>
      </c>
      <c r="H11" s="10">
        <f>INDEX('7_do 30 r.ż.'!B3:G28,MATCH(8,B4:B29,0),6)</f>
        <v>-132</v>
      </c>
    </row>
    <row r="12" spans="2:8" x14ac:dyDescent="0.2">
      <c r="B12" s="10">
        <f>RANK('7_do 30 r.ż.'!C11,'7_do 30 r.ż.'!$C$3:'7_do 30 r.ż.'!$C$28,1)+COUNTIF('7_do 30 r.ż.'!$C$3:'7_do 30 r.ż.'!C11,'7_do 30 r.ż.'!C11)-1</f>
        <v>18</v>
      </c>
      <c r="C12" s="8" t="str">
        <f>INDEX('7_do 30 r.ż.'!B3:G28,MATCH(9,B4:B29,0),1)</f>
        <v>kolbuszowski</v>
      </c>
      <c r="D12" s="10">
        <f>INDEX('7_do 30 r.ż.'!B3:G28,MATCH(9,B4:B29,0),2)</f>
        <v>424</v>
      </c>
      <c r="E12" s="9">
        <f>INDEX('7_do 30 r.ż.'!B3:G28,MATCH(9,B4:B29,0),3)</f>
        <v>411</v>
      </c>
      <c r="F12" s="10">
        <f>INDEX('7_do 30 r.ż.'!B3:G28,MATCH(9,B4:B29,0),4)</f>
        <v>13</v>
      </c>
      <c r="G12" s="9">
        <f>INDEX('7_do 30 r.ż.'!B3:G28,MATCH(9,B4:B29,0),5)</f>
        <v>509</v>
      </c>
      <c r="H12" s="10">
        <f>INDEX('7_do 30 r.ż.'!B3:G28,MATCH(9,B4:B29,0),6)</f>
        <v>-85</v>
      </c>
    </row>
    <row r="13" spans="2:8" x14ac:dyDescent="0.2">
      <c r="B13" s="10">
        <f>RANK('7_do 30 r.ż.'!C12,'7_do 30 r.ż.'!$C$3:'7_do 30 r.ż.'!$C$28,1)+COUNTIF('7_do 30 r.ż.'!$C$3:'7_do 30 r.ż.'!C12,'7_do 30 r.ż.'!C12)-1</f>
        <v>6</v>
      </c>
      <c r="C13" s="8" t="str">
        <f>INDEX('7_do 30 r.ż.'!B3:G28,MATCH(10,B4:B29,0),1)</f>
        <v>stalowowolski</v>
      </c>
      <c r="D13" s="10">
        <f>INDEX('7_do 30 r.ż.'!B3:G28,MATCH(10,B4:B29,0),2)</f>
        <v>484</v>
      </c>
      <c r="E13" s="9">
        <f>INDEX('7_do 30 r.ż.'!B3:G28,MATCH(10,B4:B29,0),3)</f>
        <v>446</v>
      </c>
      <c r="F13" s="10">
        <f>INDEX('7_do 30 r.ż.'!B3:G28,MATCH(10,B4:B29,0),4)</f>
        <v>38</v>
      </c>
      <c r="G13" s="9">
        <f>INDEX('7_do 30 r.ż.'!B3:G28,MATCH(10,B4:B29,0),5)</f>
        <v>633</v>
      </c>
      <c r="H13" s="10">
        <f>INDEX('7_do 30 r.ż.'!B3:G28,MATCH(10,B4:B29,0),6)</f>
        <v>-149</v>
      </c>
    </row>
    <row r="14" spans="2:8" x14ac:dyDescent="0.2">
      <c r="B14" s="10">
        <f>RANK('7_do 30 r.ż.'!C13,'7_do 30 r.ż.'!$C$3:'7_do 30 r.ż.'!$C$28,1)+COUNTIF('7_do 30 r.ż.'!$C$3:'7_do 30 r.ż.'!C13,'7_do 30 r.ż.'!C13)-1</f>
        <v>15</v>
      </c>
      <c r="C14" s="8" t="str">
        <f>INDEX('7_do 30 r.ż.'!B3:G28,MATCH(11,B4:B29,0),1)</f>
        <v>sanocki</v>
      </c>
      <c r="D14" s="10">
        <f>INDEX('7_do 30 r.ż.'!B3:G28,MATCH(11,B4:B29,0),2)</f>
        <v>618</v>
      </c>
      <c r="E14" s="9">
        <f>INDEX('7_do 30 r.ż.'!B3:G28,MATCH(11,B4:B29,0),3)</f>
        <v>590</v>
      </c>
      <c r="F14" s="10">
        <f>INDEX('7_do 30 r.ż.'!B3:G28,MATCH(11,B4:B29,0),4)</f>
        <v>28</v>
      </c>
      <c r="G14" s="9">
        <f>INDEX('7_do 30 r.ż.'!B3:G28,MATCH(11,B4:B29,0),5)</f>
        <v>651</v>
      </c>
      <c r="H14" s="10">
        <f>INDEX('7_do 30 r.ż.'!B3:G28,MATCH(11,B4:B29,0),6)</f>
        <v>-33</v>
      </c>
    </row>
    <row r="15" spans="2:8" x14ac:dyDescent="0.2">
      <c r="B15" s="10">
        <f>RANK('7_do 30 r.ż.'!C14,'7_do 30 r.ż.'!$C$3:'7_do 30 r.ż.'!$C$28,1)+COUNTIF('7_do 30 r.ż.'!$C$3:'7_do 30 r.ż.'!C14,'7_do 30 r.ż.'!C14)-1</f>
        <v>12</v>
      </c>
      <c r="C15" s="8" t="str">
        <f>INDEX('7_do 30 r.ż.'!B3:G28,MATCH(12,B4:B29,0),1)</f>
        <v>mielecki</v>
      </c>
      <c r="D15" s="10">
        <f>INDEX('7_do 30 r.ż.'!B3:G28,MATCH(12,B4:B29,0),2)</f>
        <v>632</v>
      </c>
      <c r="E15" s="9">
        <f>INDEX('7_do 30 r.ż.'!B3:G28,MATCH(12,B4:B29,0),3)</f>
        <v>576</v>
      </c>
      <c r="F15" s="10">
        <f>INDEX('7_do 30 r.ż.'!B3:G28,MATCH(12,B4:B29,0),4)</f>
        <v>56</v>
      </c>
      <c r="G15" s="9">
        <f>INDEX('7_do 30 r.ż.'!B3:G28,MATCH(12,B4:B29,0),5)</f>
        <v>819</v>
      </c>
      <c r="H15" s="10">
        <f>INDEX('7_do 30 r.ż.'!B3:G28,MATCH(12,B4:B29,0),6)</f>
        <v>-187</v>
      </c>
    </row>
    <row r="16" spans="2:8" x14ac:dyDescent="0.2">
      <c r="B16" s="10">
        <f>RANK('7_do 30 r.ż.'!C15,'7_do 30 r.ż.'!$C$3:'7_do 30 r.ż.'!$C$28,1)+COUNTIF('7_do 30 r.ż.'!$C$3:'7_do 30 r.ż.'!C15,'7_do 30 r.ż.'!C15)-1</f>
        <v>16</v>
      </c>
      <c r="C16" s="8" t="str">
        <f>INDEX('7_do 30 r.ż.'!B3:G28,MATCH(13,B4:B29,0),1)</f>
        <v>dębicki</v>
      </c>
      <c r="D16" s="10">
        <f>INDEX('7_do 30 r.ż.'!B3:G28,MATCH(13,B4:B29,0),2)</f>
        <v>652</v>
      </c>
      <c r="E16" s="9">
        <f>INDEX('7_do 30 r.ż.'!B3:G28,MATCH(13,B4:B29,0),3)</f>
        <v>621</v>
      </c>
      <c r="F16" s="10">
        <f>INDEX('7_do 30 r.ż.'!B3:G28,MATCH(13,B4:B29,0),4)</f>
        <v>31</v>
      </c>
      <c r="G16" s="9">
        <f>INDEX('7_do 30 r.ż.'!B3:G28,MATCH(13,B4:B29,0),5)</f>
        <v>878</v>
      </c>
      <c r="H16" s="10">
        <f>INDEX('7_do 30 r.ż.'!B3:G28,MATCH(13,B4:B29,0),6)</f>
        <v>-226</v>
      </c>
    </row>
    <row r="17" spans="2:8" x14ac:dyDescent="0.2">
      <c r="B17" s="10">
        <f>RANK('7_do 30 r.ż.'!C16,'7_do 30 r.ż.'!$C$3:'7_do 30 r.ż.'!$C$28,1)+COUNTIF('7_do 30 r.ż.'!$C$3:'7_do 30 r.ż.'!C16,'7_do 30 r.ż.'!C16)-1</f>
        <v>14</v>
      </c>
      <c r="C17" s="8" t="str">
        <f>INDEX('7_do 30 r.ż.'!B3:G28,MATCH(14,B4:B29,0),1)</f>
        <v>przemyski</v>
      </c>
      <c r="D17" s="10">
        <f>INDEX('7_do 30 r.ż.'!B3:G28,MATCH(14,B4:B29,0),2)</f>
        <v>745</v>
      </c>
      <c r="E17" s="9">
        <f>INDEX('7_do 30 r.ż.'!B3:G28,MATCH(14,B4:B29,0),3)</f>
        <v>787</v>
      </c>
      <c r="F17" s="10">
        <f>INDEX('7_do 30 r.ż.'!B3:G28,MATCH(14,B4:B29,0),4)</f>
        <v>-42</v>
      </c>
      <c r="G17" s="9">
        <f>INDEX('7_do 30 r.ż.'!B3:G28,MATCH(14,B4:B29,0),5)</f>
        <v>1009</v>
      </c>
      <c r="H17" s="10">
        <f>INDEX('7_do 30 r.ż.'!B3:G28,MATCH(14,B4:B29,0),6)</f>
        <v>-264</v>
      </c>
    </row>
    <row r="18" spans="2:8" x14ac:dyDescent="0.2">
      <c r="B18" s="10">
        <f>RANK('7_do 30 r.ż.'!C17,'7_do 30 r.ż.'!$C$3:'7_do 30 r.ż.'!$C$28,1)+COUNTIF('7_do 30 r.ż.'!$C$3:'7_do 30 r.ż.'!C17,'7_do 30 r.ż.'!C17)-1</f>
        <v>21</v>
      </c>
      <c r="C18" s="8" t="str">
        <f>INDEX('7_do 30 r.ż.'!B3:G28,MATCH(15,B4:B29,0),1)</f>
        <v>łańcucki</v>
      </c>
      <c r="D18" s="10">
        <f>INDEX('7_do 30 r.ż.'!B3:G28,MATCH(15,B4:B29,0),2)</f>
        <v>779</v>
      </c>
      <c r="E18" s="9">
        <f>INDEX('7_do 30 r.ż.'!B3:G28,MATCH(15,B4:B29,0),3)</f>
        <v>795</v>
      </c>
      <c r="F18" s="10">
        <f>INDEX('7_do 30 r.ż.'!B3:G28,MATCH(15,B4:B29,0),4)</f>
        <v>-16</v>
      </c>
      <c r="G18" s="9">
        <f>INDEX('7_do 30 r.ż.'!B3:G28,MATCH(15,B4:B29,0),5)</f>
        <v>970</v>
      </c>
      <c r="H18" s="10">
        <f>INDEX('7_do 30 r.ż.'!B3:G28,MATCH(15,B4:B29,0),6)</f>
        <v>-191</v>
      </c>
    </row>
    <row r="19" spans="2:8" x14ac:dyDescent="0.2">
      <c r="B19" s="10">
        <f>RANK('7_do 30 r.ż.'!C18,'7_do 30 r.ż.'!$C$3:'7_do 30 r.ż.'!$C$28,1)+COUNTIF('7_do 30 r.ż.'!$C$3:'7_do 30 r.ż.'!C18,'7_do 30 r.ż.'!C18)-1</f>
        <v>17</v>
      </c>
      <c r="C19" s="8" t="str">
        <f>INDEX('7_do 30 r.ż.'!B3:G28,MATCH(16,B4:B29,0),1)</f>
        <v>niżański</v>
      </c>
      <c r="D19" s="10">
        <f>INDEX('7_do 30 r.ż.'!B3:G28,MATCH(16,B4:B29,0),2)</f>
        <v>812</v>
      </c>
      <c r="E19" s="9">
        <f>INDEX('7_do 30 r.ż.'!B3:G28,MATCH(16,B4:B29,0),3)</f>
        <v>791</v>
      </c>
      <c r="F19" s="10">
        <f>INDEX('7_do 30 r.ż.'!B3:G28,MATCH(16,B4:B29,0),4)</f>
        <v>21</v>
      </c>
      <c r="G19" s="9">
        <f>INDEX('7_do 30 r.ż.'!B3:G28,MATCH(16,B4:B29,0),5)</f>
        <v>1001</v>
      </c>
      <c r="H19" s="10">
        <f>INDEX('7_do 30 r.ż.'!B3:G28,MATCH(16,B4:B29,0),6)</f>
        <v>-189</v>
      </c>
    </row>
    <row r="20" spans="2:8" x14ac:dyDescent="0.2">
      <c r="B20" s="10">
        <f>RANK('7_do 30 r.ż.'!C19,'7_do 30 r.ż.'!$C$3:'7_do 30 r.ż.'!$C$28,1)+COUNTIF('7_do 30 r.ż.'!$C$3:'7_do 30 r.ż.'!C19,'7_do 30 r.ż.'!C19)-1</f>
        <v>25</v>
      </c>
      <c r="C20" s="8" t="str">
        <f>INDEX('7_do 30 r.ż.'!B3:G28,MATCH(17,B4:B29,0),1)</f>
        <v>ropczycko-sędziszowski</v>
      </c>
      <c r="D20" s="10">
        <f>INDEX('7_do 30 r.ż.'!B3:G28,MATCH(17,B4:B29,0),2)</f>
        <v>830</v>
      </c>
      <c r="E20" s="9">
        <f>INDEX('7_do 30 r.ż.'!B3:G28,MATCH(17,B4:B29,0),3)</f>
        <v>826</v>
      </c>
      <c r="F20" s="10">
        <f>INDEX('7_do 30 r.ż.'!B3:G28,MATCH(17,B4:B29,0),4)</f>
        <v>4</v>
      </c>
      <c r="G20" s="9">
        <f>INDEX('7_do 30 r.ż.'!B3:G28,MATCH(17,B4:B29,0),5)</f>
        <v>959</v>
      </c>
      <c r="H20" s="10">
        <f>INDEX('7_do 30 r.ż.'!B3:G28,MATCH(17,B4:B29,0),6)</f>
        <v>-129</v>
      </c>
    </row>
    <row r="21" spans="2:8" x14ac:dyDescent="0.2">
      <c r="B21" s="10">
        <f>RANK('7_do 30 r.ż.'!C20,'7_do 30 r.ż.'!$C$3:'7_do 30 r.ż.'!$C$28,1)+COUNTIF('7_do 30 r.ż.'!$C$3:'7_do 30 r.ż.'!C20,'7_do 30 r.ż.'!C20)-1</f>
        <v>11</v>
      </c>
      <c r="C21" s="8" t="str">
        <f>INDEX('7_do 30 r.ż.'!B3:G28,MATCH(18,B4:B29,0),1)</f>
        <v>leżajski</v>
      </c>
      <c r="D21" s="10">
        <f>INDEX('7_do 30 r.ż.'!B3:G28,MATCH(18,B4:B29,0),2)</f>
        <v>848</v>
      </c>
      <c r="E21" s="9">
        <f>INDEX('7_do 30 r.ż.'!B3:G28,MATCH(18,B4:B29,0),3)</f>
        <v>898</v>
      </c>
      <c r="F21" s="10">
        <f>INDEX('7_do 30 r.ż.'!B3:G28,MATCH(18,B4:B29,0),4)</f>
        <v>-50</v>
      </c>
      <c r="G21" s="9">
        <f>INDEX('7_do 30 r.ż.'!B3:G28,MATCH(18,B4:B29,0),5)</f>
        <v>1108</v>
      </c>
      <c r="H21" s="10">
        <f>INDEX('7_do 30 r.ż.'!B3:G28,MATCH(18,B4:B29,0),6)</f>
        <v>-260</v>
      </c>
    </row>
    <row r="22" spans="2:8" x14ac:dyDescent="0.2">
      <c r="B22" s="10">
        <f>RANK('7_do 30 r.ż.'!C21,'7_do 30 r.ż.'!$C$3:'7_do 30 r.ż.'!$C$28,1)+COUNTIF('7_do 30 r.ż.'!$C$3:'7_do 30 r.ż.'!C21,'7_do 30 r.ż.'!C21)-1</f>
        <v>10</v>
      </c>
      <c r="C22" s="8" t="str">
        <f>INDEX('7_do 30 r.ż.'!B3:G28,MATCH(19,B4:B29,0),1)</f>
        <v>strzyżowski</v>
      </c>
      <c r="D22" s="10">
        <f>INDEX('7_do 30 r.ż.'!B3:G28,MATCH(19,B4:B29,0),2)</f>
        <v>890</v>
      </c>
      <c r="E22" s="9">
        <f>INDEX('7_do 30 r.ż.'!B3:G28,MATCH(19,B4:B29,0),3)</f>
        <v>865</v>
      </c>
      <c r="F22" s="10">
        <f>INDEX('7_do 30 r.ż.'!B3:G28,MATCH(19,B4:B29,0),4)</f>
        <v>25</v>
      </c>
      <c r="G22" s="9">
        <f>INDEX('7_do 30 r.ż.'!B3:G28,MATCH(19,B4:B29,0),5)</f>
        <v>1047</v>
      </c>
      <c r="H22" s="10">
        <f>INDEX('7_do 30 r.ż.'!B3:G28,MATCH(19,B4:B29,0),6)</f>
        <v>-157</v>
      </c>
    </row>
    <row r="23" spans="2:8" x14ac:dyDescent="0.2">
      <c r="B23" s="10">
        <f>RANK('7_do 30 r.ż.'!C22,'7_do 30 r.ż.'!$C$3:'7_do 30 r.ż.'!$C$28,1)+COUNTIF('7_do 30 r.ż.'!$C$3:'7_do 30 r.ż.'!C22,'7_do 30 r.ż.'!C22)-1</f>
        <v>19</v>
      </c>
      <c r="C23" s="8" t="str">
        <f>INDEX('7_do 30 r.ż.'!B3:G28,MATCH(20,B4:B29,0),1)</f>
        <v>brzozowski</v>
      </c>
      <c r="D23" s="10">
        <f>INDEX('7_do 30 r.ż.'!B3:G28,MATCH(20,B4:B29,0),2)</f>
        <v>962</v>
      </c>
      <c r="E23" s="9">
        <f>INDEX('7_do 30 r.ż.'!B3:G28,MATCH(20,B4:B29,0),3)</f>
        <v>925</v>
      </c>
      <c r="F23" s="10">
        <f>INDEX('7_do 30 r.ż.'!B3:G28,MATCH(20,B4:B29,0),4)</f>
        <v>37</v>
      </c>
      <c r="G23" s="9">
        <f>INDEX('7_do 30 r.ż.'!B3:G28,MATCH(20,B4:B29,0),5)</f>
        <v>1032</v>
      </c>
      <c r="H23" s="10">
        <f>INDEX('7_do 30 r.ż.'!B3:G28,MATCH(20,B4:B29,0),6)</f>
        <v>-70</v>
      </c>
    </row>
    <row r="24" spans="2:8" x14ac:dyDescent="0.2">
      <c r="B24" s="10">
        <f>RANK('7_do 30 r.ż.'!C23,'7_do 30 r.ż.'!$C$3:'7_do 30 r.ż.'!$C$28,1)+COUNTIF('7_do 30 r.ż.'!$C$3:'7_do 30 r.ż.'!C23,'7_do 30 r.ż.'!C23)-1</f>
        <v>4</v>
      </c>
      <c r="C24" s="8" t="str">
        <f>INDEX('7_do 30 r.ż.'!B3:G28,MATCH(21,B4:B29,0),1)</f>
        <v>przeworski</v>
      </c>
      <c r="D24" s="10">
        <f>INDEX('7_do 30 r.ż.'!B3:G28,MATCH(21,B4:B29,0),2)</f>
        <v>975</v>
      </c>
      <c r="E24" s="9">
        <f>INDEX('7_do 30 r.ż.'!B3:G28,MATCH(21,B4:B29,0),3)</f>
        <v>949</v>
      </c>
      <c r="F24" s="10">
        <f>INDEX('7_do 30 r.ż.'!B3:G28,MATCH(21,B4:B29,0),4)</f>
        <v>26</v>
      </c>
      <c r="G24" s="9">
        <f>INDEX('7_do 30 r.ż.'!B3:G28,MATCH(21,B4:B29,0),5)</f>
        <v>1092</v>
      </c>
      <c r="H24" s="10">
        <f>INDEX('7_do 30 r.ż.'!B3:G28,MATCH(21,B4:B29,0),6)</f>
        <v>-117</v>
      </c>
    </row>
    <row r="25" spans="2:8" x14ac:dyDescent="0.2">
      <c r="B25" s="10">
        <f>RANK('7_do 30 r.ż.'!C24,'7_do 30 r.ż.'!$C$3:'7_do 30 r.ż.'!$C$28,1)+COUNTIF('7_do 30 r.ż.'!$C$3:'7_do 30 r.ż.'!C24,'7_do 30 r.ż.'!C24)-1</f>
        <v>1</v>
      </c>
      <c r="C25" s="8" t="str">
        <f>INDEX('7_do 30 r.ż.'!B3:G28,MATCH(22,B4:B29,0),1)</f>
        <v>Rzeszów</v>
      </c>
      <c r="D25" s="10">
        <f>INDEX('7_do 30 r.ż.'!B3:G28,MATCH(22,B4:B29,0),2)</f>
        <v>1014</v>
      </c>
      <c r="E25" s="9">
        <f>INDEX('7_do 30 r.ż.'!B3:G28,MATCH(22,B4:B29,0),3)</f>
        <v>1008</v>
      </c>
      <c r="F25" s="10">
        <f>INDEX('7_do 30 r.ż.'!B3:G28,MATCH(22,B4:B29,0),4)</f>
        <v>6</v>
      </c>
      <c r="G25" s="9">
        <f>INDEX('7_do 30 r.ż.'!B3:G28,MATCH(22,B4:B29,0),5)</f>
        <v>1452</v>
      </c>
      <c r="H25" s="10">
        <f>INDEX('7_do 30 r.ż.'!B3:G28,MATCH(22,B4:B29,0),6)</f>
        <v>-438</v>
      </c>
    </row>
    <row r="26" spans="2:8" x14ac:dyDescent="0.2">
      <c r="B26" s="10">
        <f>RANK('7_do 30 r.ż.'!C25,'7_do 30 r.ż.'!$C$3:'7_do 30 r.ż.'!$C$28,1)+COUNTIF('7_do 30 r.ż.'!$C$3:'7_do 30 r.ż.'!C25,'7_do 30 r.ż.'!C25)-1</f>
        <v>5</v>
      </c>
      <c r="C26" s="8" t="str">
        <f>INDEX('7_do 30 r.ż.'!B3:G28,MATCH(23,B4:B29,0),1)</f>
        <v>jasielski</v>
      </c>
      <c r="D26" s="10">
        <f>INDEX('7_do 30 r.ż.'!B3:G28,MATCH(23,B4:B29,0),2)</f>
        <v>1064</v>
      </c>
      <c r="E26" s="9">
        <f>INDEX('7_do 30 r.ż.'!B3:G28,MATCH(23,B4:B29,0),3)</f>
        <v>1067</v>
      </c>
      <c r="F26" s="10">
        <f>INDEX('7_do 30 r.ż.'!B3:G28,MATCH(23,B4:B29,0),4)</f>
        <v>-3</v>
      </c>
      <c r="G26" s="9">
        <f>INDEX('7_do 30 r.ż.'!B3:G28,MATCH(23,B4:B29,0),5)</f>
        <v>1362</v>
      </c>
      <c r="H26" s="10">
        <f>INDEX('7_do 30 r.ż.'!B3:G28,MATCH(23,B4:B29,0),6)</f>
        <v>-298</v>
      </c>
    </row>
    <row r="27" spans="2:8" x14ac:dyDescent="0.2">
      <c r="B27" s="10">
        <f>RANK('7_do 30 r.ż.'!C26,'7_do 30 r.ż.'!$C$3:'7_do 30 r.ż.'!$C$28,1)+COUNTIF('7_do 30 r.ż.'!$C$3:'7_do 30 r.ż.'!C26,'7_do 30 r.ż.'!C26)-1</f>
        <v>22</v>
      </c>
      <c r="C27" s="8" t="str">
        <f>INDEX('7_do 30 r.ż.'!B3:G28,MATCH(24,B4:B29,0),1)</f>
        <v>jarosławski</v>
      </c>
      <c r="D27" s="10">
        <f>INDEX('7_do 30 r.ż.'!B3:G28,MATCH(24,B4:B29,0),2)</f>
        <v>1173</v>
      </c>
      <c r="E27" s="9">
        <f>INDEX('7_do 30 r.ż.'!B3:G28,MATCH(24,B4:B29,0),3)</f>
        <v>1144</v>
      </c>
      <c r="F27" s="10">
        <f>INDEX('7_do 30 r.ż.'!B3:G28,MATCH(24,B4:B29,0),4)</f>
        <v>29</v>
      </c>
      <c r="G27" s="9">
        <f>INDEX('7_do 30 r.ż.'!B3:G28,MATCH(24,B4:B29,0),5)</f>
        <v>1560</v>
      </c>
      <c r="H27" s="10">
        <f>INDEX('7_do 30 r.ż.'!B3:G28,MATCH(24,B4:B29,0),6)</f>
        <v>-387</v>
      </c>
    </row>
    <row r="28" spans="2:8" x14ac:dyDescent="0.2">
      <c r="B28" s="10">
        <f>RANK('7_do 30 r.ż.'!C27,'7_do 30 r.ż.'!$C$3:'7_do 30 r.ż.'!$C$28,1)+COUNTIF('7_do 30 r.ż.'!$C$3:'7_do 30 r.ż.'!C27,'7_do 30 r.ż.'!C27)-1</f>
        <v>2</v>
      </c>
      <c r="C28" s="8" t="str">
        <f>INDEX('7_do 30 r.ż.'!B3:G28,MATCH(25,B4:B29,0),1)</f>
        <v>rzeszowski</v>
      </c>
      <c r="D28" s="10">
        <f>INDEX('7_do 30 r.ż.'!B3:G28,MATCH(25,B4:B29,0),2)</f>
        <v>1308</v>
      </c>
      <c r="E28" s="9">
        <f>INDEX('7_do 30 r.ż.'!B3:G28,MATCH(25,B4:B29,0),3)</f>
        <v>1310</v>
      </c>
      <c r="F28" s="10">
        <f>INDEX('7_do 30 r.ż.'!B3:G28,MATCH(25,B4:B29,0),4)</f>
        <v>-2</v>
      </c>
      <c r="G28" s="9">
        <f>INDEX('7_do 30 r.ż.'!B3:G28,MATCH(25,B4:B29,0),5)</f>
        <v>1765</v>
      </c>
      <c r="H28" s="10">
        <f>INDEX('7_do 30 r.ż.'!B3:G28,MATCH(25,B4:B29,0),6)</f>
        <v>-457</v>
      </c>
    </row>
    <row r="29" spans="2:8" ht="15" x14ac:dyDescent="0.25">
      <c r="B29" s="34">
        <f>RANK('7_do 30 r.ż.'!C28,'7_do 30 r.ż.'!$C$3:'7_do 30 r.ż.'!$C$28,1)+COUNTIF('7_do 30 r.ż.'!$C$3:'7_do 30 r.ż.'!C28,'7_do 30 r.ż.'!C28)-1</f>
        <v>26</v>
      </c>
      <c r="C29" s="35" t="str">
        <f>INDEX('7_do 30 r.ż.'!B3:G28,MATCH(26,B4:B29,0),1)</f>
        <v>województwo</v>
      </c>
      <c r="D29" s="34">
        <f>INDEX('7_do 30 r.ż.'!B3:G28,MATCH(26,B4:B29,0),2)</f>
        <v>16703</v>
      </c>
      <c r="E29" s="17">
        <f>INDEX('7_do 30 r.ż.'!B3:G28,MATCH(26,B4:B29,0),3)</f>
        <v>16579</v>
      </c>
      <c r="F29" s="34">
        <f>INDEX('7_do 30 r.ż.'!B3:G28,MATCH(26,B4:B29,0),4)</f>
        <v>124</v>
      </c>
      <c r="G29" s="17">
        <f>INDEX('7_do 30 r.ż.'!B3:G28,MATCH(26,B4:B29,0),5)</f>
        <v>21053</v>
      </c>
      <c r="H29" s="34">
        <f>INDEX('7_do 30 r.ż.'!B3:G28,MATCH(26,B4:B29,0),6)</f>
        <v>-4350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140625" style="3" customWidth="1"/>
    <col min="3" max="3" width="13.5703125" style="3" customWidth="1"/>
    <col min="4" max="4" width="13.28515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6384" width="9.140625" style="3"/>
  </cols>
  <sheetData>
    <row r="1" spans="2:8" ht="17.25" customHeight="1" x14ac:dyDescent="0.2">
      <c r="B1" s="1" t="s">
        <v>84</v>
      </c>
      <c r="C1" s="75"/>
      <c r="D1" s="75"/>
      <c r="E1" s="75"/>
      <c r="F1" s="75"/>
      <c r="G1" s="75"/>
    </row>
    <row r="2" spans="2:8" ht="71.25" x14ac:dyDescent="0.2">
      <c r="B2" s="5" t="s">
        <v>27</v>
      </c>
      <c r="C2" s="6" t="s">
        <v>124</v>
      </c>
      <c r="D2" s="7" t="s">
        <v>106</v>
      </c>
      <c r="E2" s="6" t="s">
        <v>28</v>
      </c>
      <c r="F2" s="7" t="s">
        <v>123</v>
      </c>
      <c r="G2" s="6" t="s">
        <v>26</v>
      </c>
    </row>
    <row r="3" spans="2:8" x14ac:dyDescent="0.2">
      <c r="B3" s="8" t="s">
        <v>0</v>
      </c>
      <c r="C3" s="73">
        <v>241</v>
      </c>
      <c r="D3" s="9">
        <v>239</v>
      </c>
      <c r="E3" s="73">
        <f t="shared" ref="E3:E27" si="0">SUM(C3)-D3</f>
        <v>2</v>
      </c>
      <c r="F3" s="9">
        <v>252</v>
      </c>
      <c r="G3" s="73">
        <f t="shared" ref="G3:G27" si="1">SUM(C3)-F3</f>
        <v>-11</v>
      </c>
      <c r="H3" s="11"/>
    </row>
    <row r="4" spans="2:8" x14ac:dyDescent="0.2">
      <c r="B4" s="8" t="s">
        <v>1</v>
      </c>
      <c r="C4" s="73">
        <v>997</v>
      </c>
      <c r="D4" s="9">
        <v>994</v>
      </c>
      <c r="E4" s="73">
        <f t="shared" si="0"/>
        <v>3</v>
      </c>
      <c r="F4" s="9">
        <v>1017</v>
      </c>
      <c r="G4" s="73">
        <f t="shared" si="1"/>
        <v>-20</v>
      </c>
      <c r="H4" s="11"/>
    </row>
    <row r="5" spans="2:8" x14ac:dyDescent="0.2">
      <c r="B5" s="8" t="s">
        <v>2</v>
      </c>
      <c r="C5" s="73">
        <v>572</v>
      </c>
      <c r="D5" s="9">
        <v>597</v>
      </c>
      <c r="E5" s="73">
        <f t="shared" si="0"/>
        <v>-25</v>
      </c>
      <c r="F5" s="9">
        <v>682</v>
      </c>
      <c r="G5" s="73">
        <f t="shared" si="1"/>
        <v>-110</v>
      </c>
      <c r="H5" s="11"/>
    </row>
    <row r="6" spans="2:8" x14ac:dyDescent="0.2">
      <c r="B6" s="8" t="s">
        <v>3</v>
      </c>
      <c r="C6" s="73">
        <v>1118</v>
      </c>
      <c r="D6" s="9">
        <v>1143</v>
      </c>
      <c r="E6" s="73">
        <f t="shared" si="0"/>
        <v>-25</v>
      </c>
      <c r="F6" s="9">
        <v>1293</v>
      </c>
      <c r="G6" s="73">
        <f t="shared" si="1"/>
        <v>-175</v>
      </c>
      <c r="H6" s="11"/>
    </row>
    <row r="7" spans="2:8" x14ac:dyDescent="0.2">
      <c r="B7" s="8" t="s">
        <v>4</v>
      </c>
      <c r="C7" s="73">
        <v>1116</v>
      </c>
      <c r="D7" s="9">
        <v>1122</v>
      </c>
      <c r="E7" s="73">
        <f t="shared" si="0"/>
        <v>-6</v>
      </c>
      <c r="F7" s="9">
        <v>1206</v>
      </c>
      <c r="G7" s="73">
        <f t="shared" si="1"/>
        <v>-90</v>
      </c>
      <c r="H7" s="11"/>
    </row>
    <row r="8" spans="2:8" x14ac:dyDescent="0.2">
      <c r="B8" s="8" t="s">
        <v>5</v>
      </c>
      <c r="C8" s="73">
        <v>453</v>
      </c>
      <c r="D8" s="9">
        <v>465</v>
      </c>
      <c r="E8" s="73">
        <f t="shared" si="0"/>
        <v>-12</v>
      </c>
      <c r="F8" s="9">
        <v>478</v>
      </c>
      <c r="G8" s="73">
        <f t="shared" si="1"/>
        <v>-25</v>
      </c>
      <c r="H8" s="11"/>
    </row>
    <row r="9" spans="2:8" x14ac:dyDescent="0.2">
      <c r="B9" s="13" t="s">
        <v>6</v>
      </c>
      <c r="C9" s="73">
        <v>546</v>
      </c>
      <c r="D9" s="9">
        <v>539</v>
      </c>
      <c r="E9" s="73">
        <f t="shared" si="0"/>
        <v>7</v>
      </c>
      <c r="F9" s="9">
        <v>572</v>
      </c>
      <c r="G9" s="73">
        <f t="shared" si="1"/>
        <v>-26</v>
      </c>
      <c r="H9" s="11"/>
    </row>
    <row r="10" spans="2:8" x14ac:dyDescent="0.2">
      <c r="B10" s="8" t="s">
        <v>7</v>
      </c>
      <c r="C10" s="73">
        <v>380</v>
      </c>
      <c r="D10" s="9">
        <v>380</v>
      </c>
      <c r="E10" s="73">
        <f t="shared" si="0"/>
        <v>0</v>
      </c>
      <c r="F10" s="9">
        <v>381</v>
      </c>
      <c r="G10" s="73">
        <f t="shared" si="1"/>
        <v>-1</v>
      </c>
      <c r="H10" s="11"/>
    </row>
    <row r="11" spans="2:8" x14ac:dyDescent="0.2">
      <c r="B11" s="8" t="s">
        <v>8</v>
      </c>
      <c r="C11" s="73">
        <v>721</v>
      </c>
      <c r="D11" s="9">
        <v>730</v>
      </c>
      <c r="E11" s="73">
        <f t="shared" si="0"/>
        <v>-9</v>
      </c>
      <c r="F11" s="9">
        <v>804</v>
      </c>
      <c r="G11" s="73">
        <f t="shared" si="1"/>
        <v>-83</v>
      </c>
      <c r="H11" s="11"/>
    </row>
    <row r="12" spans="2:8" x14ac:dyDescent="0.2">
      <c r="B12" s="8" t="s">
        <v>9</v>
      </c>
      <c r="C12" s="73">
        <v>448</v>
      </c>
      <c r="D12" s="9">
        <v>459</v>
      </c>
      <c r="E12" s="73">
        <f t="shared" si="0"/>
        <v>-11</v>
      </c>
      <c r="F12" s="9">
        <v>503</v>
      </c>
      <c r="G12" s="73">
        <f t="shared" si="1"/>
        <v>-55</v>
      </c>
      <c r="H12" s="11"/>
    </row>
    <row r="13" spans="2:8" x14ac:dyDescent="0.2">
      <c r="B13" s="8" t="s">
        <v>10</v>
      </c>
      <c r="C13" s="73">
        <v>681</v>
      </c>
      <c r="D13" s="9">
        <v>691</v>
      </c>
      <c r="E13" s="73">
        <f t="shared" si="0"/>
        <v>-10</v>
      </c>
      <c r="F13" s="9">
        <v>762</v>
      </c>
      <c r="G13" s="73">
        <f t="shared" si="1"/>
        <v>-81</v>
      </c>
      <c r="H13" s="11"/>
    </row>
    <row r="14" spans="2:8" x14ac:dyDescent="0.2">
      <c r="B14" s="8" t="s">
        <v>11</v>
      </c>
      <c r="C14" s="73">
        <v>694</v>
      </c>
      <c r="D14" s="9">
        <v>681</v>
      </c>
      <c r="E14" s="73">
        <f t="shared" si="0"/>
        <v>13</v>
      </c>
      <c r="F14" s="9">
        <v>799</v>
      </c>
      <c r="G14" s="73">
        <f t="shared" si="1"/>
        <v>-105</v>
      </c>
      <c r="H14" s="11"/>
    </row>
    <row r="15" spans="2:8" x14ac:dyDescent="0.2">
      <c r="B15" s="8" t="s">
        <v>12</v>
      </c>
      <c r="C15" s="73">
        <v>779</v>
      </c>
      <c r="D15" s="9">
        <v>787</v>
      </c>
      <c r="E15" s="73">
        <f t="shared" si="0"/>
        <v>-8</v>
      </c>
      <c r="F15" s="9">
        <v>808</v>
      </c>
      <c r="G15" s="73">
        <f t="shared" si="1"/>
        <v>-29</v>
      </c>
      <c r="H15" s="11"/>
    </row>
    <row r="16" spans="2:8" x14ac:dyDescent="0.2">
      <c r="B16" s="8" t="s">
        <v>13</v>
      </c>
      <c r="C16" s="73">
        <v>718</v>
      </c>
      <c r="D16" s="9">
        <v>734</v>
      </c>
      <c r="E16" s="73">
        <f t="shared" si="0"/>
        <v>-16</v>
      </c>
      <c r="F16" s="9">
        <v>795</v>
      </c>
      <c r="G16" s="73">
        <f t="shared" si="1"/>
        <v>-77</v>
      </c>
      <c r="H16" s="11"/>
    </row>
    <row r="17" spans="2:8" x14ac:dyDescent="0.2">
      <c r="B17" s="8" t="s">
        <v>14</v>
      </c>
      <c r="C17" s="73">
        <v>710</v>
      </c>
      <c r="D17" s="9">
        <v>721</v>
      </c>
      <c r="E17" s="73">
        <f t="shared" si="0"/>
        <v>-11</v>
      </c>
      <c r="F17" s="9">
        <v>762</v>
      </c>
      <c r="G17" s="73">
        <f t="shared" si="1"/>
        <v>-52</v>
      </c>
      <c r="H17" s="11"/>
    </row>
    <row r="18" spans="2:8" x14ac:dyDescent="0.2">
      <c r="B18" s="8" t="s">
        <v>15</v>
      </c>
      <c r="C18" s="73">
        <v>656</v>
      </c>
      <c r="D18" s="9">
        <v>669</v>
      </c>
      <c r="E18" s="73">
        <f t="shared" si="0"/>
        <v>-13</v>
      </c>
      <c r="F18" s="9">
        <v>688</v>
      </c>
      <c r="G18" s="73">
        <f t="shared" si="1"/>
        <v>-32</v>
      </c>
      <c r="H18" s="11"/>
    </row>
    <row r="19" spans="2:8" x14ac:dyDescent="0.2">
      <c r="B19" s="8" t="s">
        <v>16</v>
      </c>
      <c r="C19" s="73">
        <v>1219</v>
      </c>
      <c r="D19" s="9">
        <v>1218</v>
      </c>
      <c r="E19" s="73">
        <f t="shared" si="0"/>
        <v>1</v>
      </c>
      <c r="F19" s="9">
        <v>1380</v>
      </c>
      <c r="G19" s="73">
        <f t="shared" si="1"/>
        <v>-161</v>
      </c>
      <c r="H19" s="11"/>
    </row>
    <row r="20" spans="2:8" x14ac:dyDescent="0.2">
      <c r="B20" s="8" t="s">
        <v>17</v>
      </c>
      <c r="C20" s="73">
        <v>591</v>
      </c>
      <c r="D20" s="9">
        <v>590</v>
      </c>
      <c r="E20" s="73">
        <f t="shared" si="0"/>
        <v>1</v>
      </c>
      <c r="F20" s="9">
        <v>624</v>
      </c>
      <c r="G20" s="73">
        <f t="shared" si="1"/>
        <v>-33</v>
      </c>
      <c r="H20" s="11"/>
    </row>
    <row r="21" spans="2:8" x14ac:dyDescent="0.2">
      <c r="B21" s="8" t="s">
        <v>18</v>
      </c>
      <c r="C21" s="73">
        <v>565</v>
      </c>
      <c r="D21" s="9">
        <v>570</v>
      </c>
      <c r="E21" s="73">
        <f t="shared" si="0"/>
        <v>-5</v>
      </c>
      <c r="F21" s="9">
        <v>635</v>
      </c>
      <c r="G21" s="73">
        <f t="shared" si="1"/>
        <v>-70</v>
      </c>
      <c r="H21" s="11"/>
    </row>
    <row r="22" spans="2:8" x14ac:dyDescent="0.2">
      <c r="B22" s="8" t="s">
        <v>19</v>
      </c>
      <c r="C22" s="73">
        <v>758</v>
      </c>
      <c r="D22" s="9">
        <v>774</v>
      </c>
      <c r="E22" s="73">
        <f t="shared" si="0"/>
        <v>-16</v>
      </c>
      <c r="F22" s="9">
        <v>816</v>
      </c>
      <c r="G22" s="73">
        <f t="shared" si="1"/>
        <v>-58</v>
      </c>
      <c r="H22" s="11"/>
    </row>
    <row r="23" spans="2:8" x14ac:dyDescent="0.2">
      <c r="B23" s="8" t="s">
        <v>20</v>
      </c>
      <c r="C23" s="73">
        <v>344</v>
      </c>
      <c r="D23" s="9">
        <v>379</v>
      </c>
      <c r="E23" s="73">
        <f t="shared" si="0"/>
        <v>-35</v>
      </c>
      <c r="F23" s="9">
        <v>426</v>
      </c>
      <c r="G23" s="73">
        <f t="shared" si="1"/>
        <v>-82</v>
      </c>
      <c r="H23" s="11"/>
    </row>
    <row r="24" spans="2:8" x14ac:dyDescent="0.2">
      <c r="B24" s="8" t="s">
        <v>21</v>
      </c>
      <c r="C24" s="73">
        <v>182</v>
      </c>
      <c r="D24" s="9">
        <v>187</v>
      </c>
      <c r="E24" s="73">
        <f t="shared" si="0"/>
        <v>-5</v>
      </c>
      <c r="F24" s="9">
        <v>236</v>
      </c>
      <c r="G24" s="73">
        <f t="shared" si="1"/>
        <v>-54</v>
      </c>
      <c r="H24" s="11"/>
    </row>
    <row r="25" spans="2:8" x14ac:dyDescent="0.2">
      <c r="B25" s="8" t="s">
        <v>22</v>
      </c>
      <c r="C25" s="73">
        <v>750</v>
      </c>
      <c r="D25" s="9">
        <v>756</v>
      </c>
      <c r="E25" s="73">
        <f t="shared" si="0"/>
        <v>-6</v>
      </c>
      <c r="F25" s="9">
        <v>820</v>
      </c>
      <c r="G25" s="73">
        <f t="shared" si="1"/>
        <v>-70</v>
      </c>
      <c r="H25" s="11"/>
    </row>
    <row r="26" spans="2:8" x14ac:dyDescent="0.2">
      <c r="B26" s="8" t="s">
        <v>23</v>
      </c>
      <c r="C26" s="73">
        <v>1571</v>
      </c>
      <c r="D26" s="9">
        <v>1582</v>
      </c>
      <c r="E26" s="73">
        <f t="shared" si="0"/>
        <v>-11</v>
      </c>
      <c r="F26" s="9">
        <v>1766</v>
      </c>
      <c r="G26" s="73">
        <f t="shared" si="1"/>
        <v>-195</v>
      </c>
      <c r="H26" s="11"/>
    </row>
    <row r="27" spans="2:8" x14ac:dyDescent="0.2">
      <c r="B27" s="8" t="s">
        <v>24</v>
      </c>
      <c r="C27" s="73">
        <v>353</v>
      </c>
      <c r="D27" s="9">
        <v>361</v>
      </c>
      <c r="E27" s="73">
        <f t="shared" si="0"/>
        <v>-8</v>
      </c>
      <c r="F27" s="9">
        <v>400</v>
      </c>
      <c r="G27" s="73">
        <f t="shared" si="1"/>
        <v>-47</v>
      </c>
      <c r="H27" s="11"/>
    </row>
    <row r="28" spans="2:8" ht="15" x14ac:dyDescent="0.25">
      <c r="B28" s="15" t="s">
        <v>25</v>
      </c>
      <c r="C28" s="74">
        <f>SUM(C3:C27)</f>
        <v>17163</v>
      </c>
      <c r="D28" s="17">
        <f>SUM(D3:D27)</f>
        <v>17368</v>
      </c>
      <c r="E28" s="74">
        <f>SUM(E3:E27)</f>
        <v>-205</v>
      </c>
      <c r="F28" s="17">
        <f>SUM(F3:F27)</f>
        <v>18905</v>
      </c>
      <c r="G28" s="74">
        <f>SUM(G3:G27)</f>
        <v>-1742</v>
      </c>
      <c r="H28" s="11"/>
    </row>
    <row r="29" spans="2:8" x14ac:dyDescent="0.2">
      <c r="E29" s="30"/>
      <c r="G29" s="11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84</v>
      </c>
    </row>
    <row r="2" spans="2:8" ht="15" x14ac:dyDescent="0.2">
      <c r="C2" s="31"/>
      <c r="D2" s="32"/>
    </row>
    <row r="3" spans="2:8" ht="57" x14ac:dyDescent="0.2">
      <c r="B3" s="33" t="s">
        <v>88</v>
      </c>
      <c r="C3" s="5" t="str">
        <f>T('8_pow. 50 r.ż.'!B2)</f>
        <v>powiaty</v>
      </c>
      <c r="D3" s="5" t="str">
        <f>T('8_pow. 50 r.ż.'!C2)</f>
        <v>liczba bezrobotnych 50+ stan na 31 VII '22 r.</v>
      </c>
      <c r="E3" s="5" t="str">
        <f>T('8_pow. 50 r.ż.'!D2)</f>
        <v>liczba bezrobotnych 50+ stan na 30 VI '22 r.</v>
      </c>
      <c r="F3" s="5" t="str">
        <f>T('8_pow. 50 r.ż.'!E2)</f>
        <v>wzrost/spadek do poprzedniego  miesiąca</v>
      </c>
      <c r="G3" s="5" t="str">
        <f>T('8_pow. 50 r.ż.'!F2)</f>
        <v>liczba bezrobotnych 50+ stan na 31 VII '21 r.</v>
      </c>
      <c r="H3" s="5" t="str">
        <f>T('8_pow. 50 r.ż.'!G2)</f>
        <v>wzrost/spadek do analogicznego okresu ubr.</v>
      </c>
    </row>
    <row r="4" spans="2:8" x14ac:dyDescent="0.2">
      <c r="B4" s="10">
        <f>RANK('8_pow. 50 r.ż.'!C3,'8_pow. 50 r.ż.'!$C$3:'8_pow. 50 r.ż.'!$C$28,1)+COUNTIF('8_pow. 50 r.ż.'!$C$3:'8_pow. 50 r.ż.'!C3,'8_pow. 50 r.ż.'!C3)-1</f>
        <v>2</v>
      </c>
      <c r="C4" s="8" t="str">
        <f>INDEX('8_pow. 50 r.ż.'!B3:G28,MATCH(1,B4:B29,0),1)</f>
        <v>Krosno</v>
      </c>
      <c r="D4" s="39">
        <f>INDEX('8_pow. 50 r.ż.'!B3:G28,MATCH(1,B4:B29,0),2)</f>
        <v>182</v>
      </c>
      <c r="E4" s="9">
        <f>INDEX('8_pow. 50 r.ż.'!B3:G28,MATCH(1,B4:B29,0),3)</f>
        <v>187</v>
      </c>
      <c r="F4" s="10">
        <f>INDEX('8_pow. 50 r.ż.'!B3:G28,MATCH(1,B4:B29,0),4)</f>
        <v>-5</v>
      </c>
      <c r="G4" s="9">
        <f>INDEX('8_pow. 50 r.ż.'!B3:G28,MATCH(1,B4:B29,0),5)</f>
        <v>236</v>
      </c>
      <c r="H4" s="10">
        <f>INDEX('8_pow. 50 r.ż.'!B3:G28,MATCH(1,B4:B29,0),6)</f>
        <v>-54</v>
      </c>
    </row>
    <row r="5" spans="2:8" x14ac:dyDescent="0.2">
      <c r="B5" s="10">
        <f>RANK('8_pow. 50 r.ż.'!C4,'8_pow. 50 r.ż.'!$C$3:'8_pow. 50 r.ż.'!$C$28,1)+COUNTIF('8_pow. 50 r.ż.'!$C$3:'8_pow. 50 r.ż.'!C4,'8_pow. 50 r.ż.'!C4)-1</f>
        <v>21</v>
      </c>
      <c r="C5" s="8" t="str">
        <f>INDEX('8_pow. 50 r.ż.'!B3:G28,MATCH(2,B4:B29,0),1)</f>
        <v>bieszczadzki</v>
      </c>
      <c r="D5" s="10">
        <f>INDEX('8_pow. 50 r.ż.'!B3:G28,MATCH(2,B4:B29,0),2)</f>
        <v>241</v>
      </c>
      <c r="E5" s="9">
        <f>INDEX('8_pow. 50 r.ż.'!B3:G28,MATCH(2,B4:B29,0),3)</f>
        <v>239</v>
      </c>
      <c r="F5" s="10">
        <f>INDEX('8_pow. 50 r.ż.'!B3:G28,MATCH(2,B4:B29,0),4)</f>
        <v>2</v>
      </c>
      <c r="G5" s="9">
        <f>INDEX('8_pow. 50 r.ż.'!B3:G28,MATCH(2,B4:B29,0),5)</f>
        <v>252</v>
      </c>
      <c r="H5" s="10">
        <f>INDEX('8_pow. 50 r.ż.'!B3:G28,MATCH(2,B4:B29,0),6)</f>
        <v>-11</v>
      </c>
    </row>
    <row r="6" spans="2:8" x14ac:dyDescent="0.2">
      <c r="B6" s="10">
        <f>RANK('8_pow. 50 r.ż.'!C5,'8_pow. 50 r.ż.'!$C$3:'8_pow. 50 r.ż.'!$C$28,1)+COUNTIF('8_pow. 50 r.ż.'!$C$3:'8_pow. 50 r.ż.'!C5,'8_pow. 50 r.ż.'!C5)-1</f>
        <v>10</v>
      </c>
      <c r="C6" s="8" t="str">
        <f>INDEX('8_pow. 50 r.ż.'!B3:G28,MATCH(3,B4:B29,0),1)</f>
        <v xml:space="preserve">tarnobrzeski </v>
      </c>
      <c r="D6" s="10">
        <f>INDEX('8_pow. 50 r.ż.'!B3:G28,MATCH(3,B4:B29,0),2)</f>
        <v>344</v>
      </c>
      <c r="E6" s="9">
        <f>INDEX('8_pow. 50 r.ż.'!B3:G28,MATCH(3,B4:B29,0),3)</f>
        <v>379</v>
      </c>
      <c r="F6" s="10">
        <f>INDEX('8_pow. 50 r.ż.'!B3:G28,MATCH(3,B4:B29,0),4)</f>
        <v>-35</v>
      </c>
      <c r="G6" s="9">
        <f>INDEX('8_pow. 50 r.ż.'!B3:G28,MATCH(3,B4:B29,0),5)</f>
        <v>426</v>
      </c>
      <c r="H6" s="10">
        <f>INDEX('8_pow. 50 r.ż.'!B3:G28,MATCH(3,B4:B29,0),6)</f>
        <v>-82</v>
      </c>
    </row>
    <row r="7" spans="2:8" x14ac:dyDescent="0.2">
      <c r="B7" s="10">
        <f>RANK('8_pow. 50 r.ż.'!C6,'8_pow. 50 r.ż.'!$C$3:'8_pow. 50 r.ż.'!$C$28,1)+COUNTIF('8_pow. 50 r.ż.'!$C$3:'8_pow. 50 r.ż.'!C6,'8_pow. 50 r.ż.'!C6)-1</f>
        <v>23</v>
      </c>
      <c r="C7" s="8" t="str">
        <f>INDEX('8_pow. 50 r.ż.'!B3:G28,MATCH(4,B4:B29,0),1)</f>
        <v>Tarnobrzeg</v>
      </c>
      <c r="D7" s="10">
        <f>INDEX('8_pow. 50 r.ż.'!B3:G28,MATCH(4,B4:B29,0),2)</f>
        <v>353</v>
      </c>
      <c r="E7" s="9">
        <f>INDEX('8_pow. 50 r.ż.'!B3:G28,MATCH(4,B4:B29,0),3)</f>
        <v>361</v>
      </c>
      <c r="F7" s="10">
        <f>INDEX('8_pow. 50 r.ż.'!B3:G28,MATCH(4,B4:B29,0),4)</f>
        <v>-8</v>
      </c>
      <c r="G7" s="9">
        <f>INDEX('8_pow. 50 r.ż.'!B3:G28,MATCH(4,B4:B29,0),5)</f>
        <v>400</v>
      </c>
      <c r="H7" s="10">
        <f>INDEX('8_pow. 50 r.ż.'!B3:G28,MATCH(4,B4:B29,0),6)</f>
        <v>-47</v>
      </c>
    </row>
    <row r="8" spans="2:8" x14ac:dyDescent="0.2">
      <c r="B8" s="10">
        <f>RANK('8_pow. 50 r.ż.'!C7,'8_pow. 50 r.ż.'!$C$3:'8_pow. 50 r.ż.'!$C$28,1)+COUNTIF('8_pow. 50 r.ż.'!$C$3:'8_pow. 50 r.ż.'!C7,'8_pow. 50 r.ż.'!C7)-1</f>
        <v>22</v>
      </c>
      <c r="C8" s="8" t="str">
        <f>INDEX('8_pow. 50 r.ż.'!B3:G28,MATCH(5,B4:B29,0),1)</f>
        <v>leski</v>
      </c>
      <c r="D8" s="10">
        <f>INDEX('8_pow. 50 r.ż.'!B3:G28,MATCH(5,B4:B29,0),2)</f>
        <v>380</v>
      </c>
      <c r="E8" s="9">
        <f>INDEX('8_pow. 50 r.ż.'!B3:G28,MATCH(5,B4:B29,0),3)</f>
        <v>380</v>
      </c>
      <c r="F8" s="10">
        <f>INDEX('8_pow. 50 r.ż.'!B3:G28,MATCH(5,B4:B29,0),4)</f>
        <v>0</v>
      </c>
      <c r="G8" s="9">
        <f>INDEX('8_pow. 50 r.ż.'!B3:G28,MATCH(5,B4:B29,0),5)</f>
        <v>381</v>
      </c>
      <c r="H8" s="10">
        <f>INDEX('8_pow. 50 r.ż.'!B3:G28,MATCH(5,B4:B29,0),6)</f>
        <v>-1</v>
      </c>
    </row>
    <row r="9" spans="2:8" x14ac:dyDescent="0.2">
      <c r="B9" s="10">
        <f>RANK('8_pow. 50 r.ż.'!C8,'8_pow. 50 r.ż.'!$C$3:'8_pow. 50 r.ż.'!$C$28,1)+COUNTIF('8_pow. 50 r.ż.'!$C$3:'8_pow. 50 r.ż.'!C8,'8_pow. 50 r.ż.'!C8)-1</f>
        <v>7</v>
      </c>
      <c r="C9" s="8" t="str">
        <f>INDEX('8_pow. 50 r.ż.'!B3:G28,MATCH(6,B4:B29,0),1)</f>
        <v>lubaczowski</v>
      </c>
      <c r="D9" s="10">
        <f>INDEX('8_pow. 50 r.ż.'!B3:G28,MATCH(6,B4:B29,0),2)</f>
        <v>448</v>
      </c>
      <c r="E9" s="9">
        <f>INDEX('8_pow. 50 r.ż.'!B3:G28,MATCH(6,B4:B29,0),3)</f>
        <v>459</v>
      </c>
      <c r="F9" s="10">
        <f>INDEX('8_pow. 50 r.ż.'!B3:G28,MATCH(6,B4:B29,0),4)</f>
        <v>-11</v>
      </c>
      <c r="G9" s="9">
        <f>INDEX('8_pow. 50 r.ż.'!B3:G28,MATCH(6,B4:B29,0),5)</f>
        <v>503</v>
      </c>
      <c r="H9" s="10">
        <f>INDEX('8_pow. 50 r.ż.'!B3:G28,MATCH(6,B4:B29,0),6)</f>
        <v>-55</v>
      </c>
    </row>
    <row r="10" spans="2:8" x14ac:dyDescent="0.2">
      <c r="B10" s="10">
        <f>RANK('8_pow. 50 r.ż.'!C9,'8_pow. 50 r.ż.'!$C$3:'8_pow. 50 r.ż.'!$C$28,1)+COUNTIF('8_pow. 50 r.ż.'!$C$3:'8_pow. 50 r.ż.'!C9,'8_pow. 50 r.ż.'!C9)-1</f>
        <v>8</v>
      </c>
      <c r="C10" s="13" t="str">
        <f>INDEX('8_pow. 50 r.ż.'!B3:G28,MATCH(7,B4:B29,0),1)</f>
        <v>kolbuszowski</v>
      </c>
      <c r="D10" s="10">
        <f>INDEX('8_pow. 50 r.ż.'!B3:G28,MATCH(7,B4:B29,0),2)</f>
        <v>453</v>
      </c>
      <c r="E10" s="9">
        <f>INDEX('8_pow. 50 r.ż.'!B3:G28,MATCH(7,B4:B29,0),3)</f>
        <v>465</v>
      </c>
      <c r="F10" s="10">
        <f>INDEX('8_pow. 50 r.ż.'!B3:G28,MATCH(7,B4:B29,0),4)</f>
        <v>-12</v>
      </c>
      <c r="G10" s="9">
        <f>INDEX('8_pow. 50 r.ż.'!B3:G28,MATCH(7,B4:B29,0),5)</f>
        <v>478</v>
      </c>
      <c r="H10" s="10">
        <f>INDEX('8_pow. 50 r.ż.'!B3:G28,MATCH(7,B4:B29,0),6)</f>
        <v>-25</v>
      </c>
    </row>
    <row r="11" spans="2:8" x14ac:dyDescent="0.2">
      <c r="B11" s="10">
        <f>RANK('8_pow. 50 r.ż.'!C10,'8_pow. 50 r.ż.'!$C$3:'8_pow. 50 r.ż.'!$C$28,1)+COUNTIF('8_pow. 50 r.ż.'!$C$3:'8_pow. 50 r.ż.'!C10,'8_pow. 50 r.ż.'!C10)-1</f>
        <v>5</v>
      </c>
      <c r="C11" s="8" t="str">
        <f>INDEX('8_pow. 50 r.ż.'!B3:G28,MATCH(8,B4:B29,0),1)</f>
        <v>krośnieński</v>
      </c>
      <c r="D11" s="10">
        <f>INDEX('8_pow. 50 r.ż.'!B3:G28,MATCH(8,B4:B29,0),2)</f>
        <v>546</v>
      </c>
      <c r="E11" s="9">
        <f>INDEX('8_pow. 50 r.ż.'!B3:G28,MATCH(8,B4:B29,0),3)</f>
        <v>539</v>
      </c>
      <c r="F11" s="10">
        <f>INDEX('8_pow. 50 r.ż.'!B3:G28,MATCH(8,B4:B29,0),4)</f>
        <v>7</v>
      </c>
      <c r="G11" s="9">
        <f>INDEX('8_pow. 50 r.ż.'!B3:G28,MATCH(8,B4:B29,0),5)</f>
        <v>572</v>
      </c>
      <c r="H11" s="10">
        <f>INDEX('8_pow. 50 r.ż.'!B3:G28,MATCH(8,B4:B29,0),6)</f>
        <v>-26</v>
      </c>
    </row>
    <row r="12" spans="2:8" x14ac:dyDescent="0.2">
      <c r="B12" s="10">
        <f>RANK('8_pow. 50 r.ż.'!C11,'8_pow. 50 r.ż.'!$C$3:'8_pow. 50 r.ż.'!$C$28,1)+COUNTIF('8_pow. 50 r.ż.'!$C$3:'8_pow. 50 r.ż.'!C11,'8_pow. 50 r.ż.'!C11)-1</f>
        <v>17</v>
      </c>
      <c r="C12" s="8" t="str">
        <f>INDEX('8_pow. 50 r.ż.'!B3:G28,MATCH(9,B4:B29,0),1)</f>
        <v>stalowowolski</v>
      </c>
      <c r="D12" s="10">
        <f>INDEX('8_pow. 50 r.ż.'!B3:G28,MATCH(9,B4:B29,0),2)</f>
        <v>565</v>
      </c>
      <c r="E12" s="9">
        <f>INDEX('8_pow. 50 r.ż.'!B3:G28,MATCH(9,B4:B29,0),3)</f>
        <v>570</v>
      </c>
      <c r="F12" s="10">
        <f>INDEX('8_pow. 50 r.ż.'!B3:G28,MATCH(9,B4:B29,0),4)</f>
        <v>-5</v>
      </c>
      <c r="G12" s="9">
        <f>INDEX('8_pow. 50 r.ż.'!B3:G28,MATCH(9,B4:B29,0),5)</f>
        <v>635</v>
      </c>
      <c r="H12" s="10">
        <f>INDEX('8_pow. 50 r.ż.'!B3:G28,MATCH(9,B4:B29,0),6)</f>
        <v>-70</v>
      </c>
    </row>
    <row r="13" spans="2:8" x14ac:dyDescent="0.2">
      <c r="B13" s="10">
        <f>RANK('8_pow. 50 r.ż.'!C12,'8_pow. 50 r.ż.'!$C$3:'8_pow. 50 r.ż.'!$C$28,1)+COUNTIF('8_pow. 50 r.ż.'!$C$3:'8_pow. 50 r.ż.'!C12,'8_pow. 50 r.ż.'!C12)-1</f>
        <v>6</v>
      </c>
      <c r="C13" s="8" t="str">
        <f>INDEX('8_pow. 50 r.ż.'!B3:G28,MATCH(10,B4:B29,0),1)</f>
        <v>dębicki</v>
      </c>
      <c r="D13" s="10">
        <f>INDEX('8_pow. 50 r.ż.'!B3:G28,MATCH(10,B4:B29,0),2)</f>
        <v>572</v>
      </c>
      <c r="E13" s="9">
        <f>INDEX('8_pow. 50 r.ż.'!B3:G28,MATCH(10,B4:B29,0),3)</f>
        <v>597</v>
      </c>
      <c r="F13" s="10">
        <f>INDEX('8_pow. 50 r.ż.'!B3:G28,MATCH(10,B4:B29,0),4)</f>
        <v>-25</v>
      </c>
      <c r="G13" s="9">
        <f>INDEX('8_pow. 50 r.ż.'!B3:G28,MATCH(10,B4:B29,0),5)</f>
        <v>682</v>
      </c>
      <c r="H13" s="10">
        <f>INDEX('8_pow. 50 r.ż.'!B3:G28,MATCH(10,B4:B29,0),6)</f>
        <v>-110</v>
      </c>
    </row>
    <row r="14" spans="2:8" x14ac:dyDescent="0.2">
      <c r="B14" s="10">
        <f>RANK('8_pow. 50 r.ż.'!C13,'8_pow. 50 r.ż.'!$C$3:'8_pow. 50 r.ż.'!$C$28,1)+COUNTIF('8_pow. 50 r.ż.'!$C$3:'8_pow. 50 r.ż.'!C13,'8_pow. 50 r.ż.'!C13)-1</f>
        <v>13</v>
      </c>
      <c r="C14" s="8" t="str">
        <f>INDEX('8_pow. 50 r.ż.'!B3:G28,MATCH(11,B4:B29,0),1)</f>
        <v>sanocki</v>
      </c>
      <c r="D14" s="10">
        <f>INDEX('8_pow. 50 r.ż.'!B3:G28,MATCH(11,B4:B29,0),2)</f>
        <v>591</v>
      </c>
      <c r="E14" s="9">
        <f>INDEX('8_pow. 50 r.ż.'!B3:G28,MATCH(11,B4:B29,0),3)</f>
        <v>590</v>
      </c>
      <c r="F14" s="10">
        <f>INDEX('8_pow. 50 r.ż.'!B3:G28,MATCH(11,B4:B29,0),4)</f>
        <v>1</v>
      </c>
      <c r="G14" s="9">
        <f>INDEX('8_pow. 50 r.ż.'!B3:G28,MATCH(11,B4:B29,0),5)</f>
        <v>624</v>
      </c>
      <c r="H14" s="10">
        <f>INDEX('8_pow. 50 r.ż.'!B3:G28,MATCH(11,B4:B29,0),6)</f>
        <v>-33</v>
      </c>
    </row>
    <row r="15" spans="2:8" x14ac:dyDescent="0.2">
      <c r="B15" s="10">
        <f>RANK('8_pow. 50 r.ż.'!C14,'8_pow. 50 r.ż.'!$C$3:'8_pow. 50 r.ż.'!$C$28,1)+COUNTIF('8_pow. 50 r.ż.'!$C$3:'8_pow. 50 r.ż.'!C14,'8_pow. 50 r.ż.'!C14)-1</f>
        <v>14</v>
      </c>
      <c r="C15" s="8" t="str">
        <f>INDEX('8_pow. 50 r.ż.'!B3:G28,MATCH(12,B4:B29,0),1)</f>
        <v>ropczycko-sędziszowski</v>
      </c>
      <c r="D15" s="10">
        <f>INDEX('8_pow. 50 r.ż.'!B3:G28,MATCH(12,B4:B29,0),2)</f>
        <v>656</v>
      </c>
      <c r="E15" s="9">
        <f>INDEX('8_pow. 50 r.ż.'!B3:G28,MATCH(12,B4:B29,0),3)</f>
        <v>669</v>
      </c>
      <c r="F15" s="10">
        <f>INDEX('8_pow. 50 r.ż.'!B3:G28,MATCH(12,B4:B29,0),4)</f>
        <v>-13</v>
      </c>
      <c r="G15" s="9">
        <f>INDEX('8_pow. 50 r.ż.'!B3:G28,MATCH(12,B4:B29,0),5)</f>
        <v>688</v>
      </c>
      <c r="H15" s="10">
        <f>INDEX('8_pow. 50 r.ż.'!B3:G28,MATCH(12,B4:B29,0),6)</f>
        <v>-32</v>
      </c>
    </row>
    <row r="16" spans="2:8" x14ac:dyDescent="0.2">
      <c r="B16" s="10">
        <f>RANK('8_pow. 50 r.ż.'!C15,'8_pow. 50 r.ż.'!$C$3:'8_pow. 50 r.ż.'!$C$28,1)+COUNTIF('8_pow. 50 r.ż.'!$C$3:'8_pow. 50 r.ż.'!C15,'8_pow. 50 r.ż.'!C15)-1</f>
        <v>20</v>
      </c>
      <c r="C16" s="8" t="str">
        <f>INDEX('8_pow. 50 r.ż.'!B3:G28,MATCH(13,B4:B29,0),1)</f>
        <v>łańcucki</v>
      </c>
      <c r="D16" s="10">
        <f>INDEX('8_pow. 50 r.ż.'!B3:G28,MATCH(13,B4:B29,0),2)</f>
        <v>681</v>
      </c>
      <c r="E16" s="9">
        <f>INDEX('8_pow. 50 r.ż.'!B3:G28,MATCH(13,B4:B29,0),3)</f>
        <v>691</v>
      </c>
      <c r="F16" s="10">
        <f>INDEX('8_pow. 50 r.ż.'!B3:G28,MATCH(13,B4:B29,0),4)</f>
        <v>-10</v>
      </c>
      <c r="G16" s="9">
        <f>INDEX('8_pow. 50 r.ż.'!B3:G28,MATCH(13,B4:B29,0),5)</f>
        <v>762</v>
      </c>
      <c r="H16" s="10">
        <f>INDEX('8_pow. 50 r.ż.'!B3:G28,MATCH(13,B4:B29,0),6)</f>
        <v>-81</v>
      </c>
    </row>
    <row r="17" spans="2:8" x14ac:dyDescent="0.2">
      <c r="B17" s="10">
        <f>RANK('8_pow. 50 r.ż.'!C16,'8_pow. 50 r.ż.'!$C$3:'8_pow. 50 r.ż.'!$C$28,1)+COUNTIF('8_pow. 50 r.ż.'!$C$3:'8_pow. 50 r.ż.'!C16,'8_pow. 50 r.ż.'!C16)-1</f>
        <v>16</v>
      </c>
      <c r="C17" s="8" t="str">
        <f>INDEX('8_pow. 50 r.ż.'!B3:G28,MATCH(14,B4:B29,0),1)</f>
        <v>mielecki</v>
      </c>
      <c r="D17" s="10">
        <f>INDEX('8_pow. 50 r.ż.'!B3:G28,MATCH(14,B4:B29,0),2)</f>
        <v>694</v>
      </c>
      <c r="E17" s="9">
        <f>INDEX('8_pow. 50 r.ż.'!B3:G28,MATCH(14,B4:B29,0),3)</f>
        <v>681</v>
      </c>
      <c r="F17" s="10">
        <f>INDEX('8_pow. 50 r.ż.'!B3:G28,MATCH(14,B4:B29,0),4)</f>
        <v>13</v>
      </c>
      <c r="G17" s="9">
        <f>INDEX('8_pow. 50 r.ż.'!B3:G28,MATCH(14,B4:B29,0),5)</f>
        <v>799</v>
      </c>
      <c r="H17" s="10">
        <f>INDEX('8_pow. 50 r.ż.'!B3:G28,MATCH(14,B4:B29,0),6)</f>
        <v>-105</v>
      </c>
    </row>
    <row r="18" spans="2:8" x14ac:dyDescent="0.2">
      <c r="B18" s="10">
        <f>RANK('8_pow. 50 r.ż.'!C17,'8_pow. 50 r.ż.'!$C$3:'8_pow. 50 r.ż.'!$C$28,1)+COUNTIF('8_pow. 50 r.ż.'!$C$3:'8_pow. 50 r.ż.'!C17,'8_pow. 50 r.ż.'!C17)-1</f>
        <v>15</v>
      </c>
      <c r="C18" s="8" t="str">
        <f>INDEX('8_pow. 50 r.ż.'!B3:G28,MATCH(15,B4:B29,0),1)</f>
        <v>przeworski</v>
      </c>
      <c r="D18" s="10">
        <f>INDEX('8_pow. 50 r.ż.'!B3:G28,MATCH(15,B4:B29,0),2)</f>
        <v>710</v>
      </c>
      <c r="E18" s="9">
        <f>INDEX('8_pow. 50 r.ż.'!B3:G28,MATCH(15,B4:B29,0),3)</f>
        <v>721</v>
      </c>
      <c r="F18" s="10">
        <f>INDEX('8_pow. 50 r.ż.'!B3:G28,MATCH(15,B4:B29,0),4)</f>
        <v>-11</v>
      </c>
      <c r="G18" s="9">
        <f>INDEX('8_pow. 50 r.ż.'!B3:G28,MATCH(15,B4:B29,0),5)</f>
        <v>762</v>
      </c>
      <c r="H18" s="10">
        <f>INDEX('8_pow. 50 r.ż.'!B3:G28,MATCH(15,B4:B29,0),6)</f>
        <v>-52</v>
      </c>
    </row>
    <row r="19" spans="2:8" x14ac:dyDescent="0.2">
      <c r="B19" s="10">
        <f>RANK('8_pow. 50 r.ż.'!C18,'8_pow. 50 r.ż.'!$C$3:'8_pow. 50 r.ż.'!$C$28,1)+COUNTIF('8_pow. 50 r.ż.'!$C$3:'8_pow. 50 r.ż.'!C18,'8_pow. 50 r.ż.'!C18)-1</f>
        <v>12</v>
      </c>
      <c r="C19" s="8" t="str">
        <f>INDEX('8_pow. 50 r.ż.'!B3:G28,MATCH(16,B4:B29,0),1)</f>
        <v>przemyski</v>
      </c>
      <c r="D19" s="10">
        <f>INDEX('8_pow. 50 r.ż.'!B3:G28,MATCH(16,B4:B29,0),2)</f>
        <v>718</v>
      </c>
      <c r="E19" s="9">
        <f>INDEX('8_pow. 50 r.ż.'!B3:G28,MATCH(16,B4:B29,0),3)</f>
        <v>734</v>
      </c>
      <c r="F19" s="10">
        <f>INDEX('8_pow. 50 r.ż.'!B3:G28,MATCH(16,B4:B29,0),4)</f>
        <v>-16</v>
      </c>
      <c r="G19" s="9">
        <f>INDEX('8_pow. 50 r.ż.'!B3:G28,MATCH(16,B4:B29,0),5)</f>
        <v>795</v>
      </c>
      <c r="H19" s="10">
        <f>INDEX('8_pow. 50 r.ż.'!B3:G28,MATCH(16,B4:B29,0),6)</f>
        <v>-77</v>
      </c>
    </row>
    <row r="20" spans="2:8" x14ac:dyDescent="0.2">
      <c r="B20" s="10">
        <f>RANK('8_pow. 50 r.ż.'!C19,'8_pow. 50 r.ż.'!$C$3:'8_pow. 50 r.ż.'!$C$28,1)+COUNTIF('8_pow. 50 r.ż.'!$C$3:'8_pow. 50 r.ż.'!C19,'8_pow. 50 r.ż.'!C19)-1</f>
        <v>24</v>
      </c>
      <c r="C20" s="8" t="str">
        <f>INDEX('8_pow. 50 r.ż.'!B3:G28,MATCH(17,B4:B29,0),1)</f>
        <v>leżajski</v>
      </c>
      <c r="D20" s="10">
        <f>INDEX('8_pow. 50 r.ż.'!B3:G28,MATCH(17,B4:B29,0),2)</f>
        <v>721</v>
      </c>
      <c r="E20" s="9">
        <f>INDEX('8_pow. 50 r.ż.'!B3:G28,MATCH(17,B4:B29,0),3)</f>
        <v>730</v>
      </c>
      <c r="F20" s="10">
        <f>INDEX('8_pow. 50 r.ż.'!B3:G28,MATCH(17,B4:B29,0),4)</f>
        <v>-9</v>
      </c>
      <c r="G20" s="9">
        <f>INDEX('8_pow. 50 r.ż.'!B3:G28,MATCH(17,B4:B29,0),5)</f>
        <v>804</v>
      </c>
      <c r="H20" s="10">
        <f>INDEX('8_pow. 50 r.ż.'!B3:G28,MATCH(17,B4:B29,0),6)</f>
        <v>-83</v>
      </c>
    </row>
    <row r="21" spans="2:8" x14ac:dyDescent="0.2">
      <c r="B21" s="10">
        <f>RANK('8_pow. 50 r.ż.'!C20,'8_pow. 50 r.ż.'!$C$3:'8_pow. 50 r.ż.'!$C$28,1)+COUNTIF('8_pow. 50 r.ż.'!$C$3:'8_pow. 50 r.ż.'!C20,'8_pow. 50 r.ż.'!C20)-1</f>
        <v>11</v>
      </c>
      <c r="C21" s="8" t="str">
        <f>INDEX('8_pow. 50 r.ż.'!B3:G28,MATCH(18,B4:B29,0),1)</f>
        <v>Przemyśl</v>
      </c>
      <c r="D21" s="10">
        <f>INDEX('8_pow. 50 r.ż.'!B3:G28,MATCH(18,B4:B29,0),2)</f>
        <v>750</v>
      </c>
      <c r="E21" s="9">
        <f>INDEX('8_pow. 50 r.ż.'!B3:G28,MATCH(18,B4:B29,0),3)</f>
        <v>756</v>
      </c>
      <c r="F21" s="10">
        <f>INDEX('8_pow. 50 r.ż.'!B3:G28,MATCH(18,B4:B29,0),4)</f>
        <v>-6</v>
      </c>
      <c r="G21" s="9">
        <f>INDEX('8_pow. 50 r.ż.'!B3:G28,MATCH(18,B4:B29,0),5)</f>
        <v>820</v>
      </c>
      <c r="H21" s="10">
        <f>INDEX('8_pow. 50 r.ż.'!B3:G28,MATCH(18,B4:B29,0),6)</f>
        <v>-70</v>
      </c>
    </row>
    <row r="22" spans="2:8" x14ac:dyDescent="0.2">
      <c r="B22" s="10">
        <f>RANK('8_pow. 50 r.ż.'!C21,'8_pow. 50 r.ż.'!$C$3:'8_pow. 50 r.ż.'!$C$28,1)+COUNTIF('8_pow. 50 r.ż.'!$C$3:'8_pow. 50 r.ż.'!C21,'8_pow. 50 r.ż.'!C21)-1</f>
        <v>9</v>
      </c>
      <c r="C22" s="8" t="str">
        <f>INDEX('8_pow. 50 r.ż.'!B3:G28,MATCH(19,B4:B29,0),1)</f>
        <v>strzyżowski</v>
      </c>
      <c r="D22" s="10">
        <f>INDEX('8_pow. 50 r.ż.'!B3:G28,MATCH(19,B4:B29,0),2)</f>
        <v>758</v>
      </c>
      <c r="E22" s="9">
        <f>INDEX('8_pow. 50 r.ż.'!B3:G28,MATCH(19,B4:B29,0),3)</f>
        <v>774</v>
      </c>
      <c r="F22" s="10">
        <f>INDEX('8_pow. 50 r.ż.'!B3:G28,MATCH(19,B4:B29,0),4)</f>
        <v>-16</v>
      </c>
      <c r="G22" s="9">
        <f>INDEX('8_pow. 50 r.ż.'!B3:G28,MATCH(19,B4:B29,0),5)</f>
        <v>816</v>
      </c>
      <c r="H22" s="10">
        <f>INDEX('8_pow. 50 r.ż.'!B3:G28,MATCH(19,B4:B29,0),6)</f>
        <v>-58</v>
      </c>
    </row>
    <row r="23" spans="2:8" x14ac:dyDescent="0.2">
      <c r="B23" s="10">
        <f>RANK('8_pow. 50 r.ż.'!C22,'8_pow. 50 r.ż.'!$C$3:'8_pow. 50 r.ż.'!$C$28,1)+COUNTIF('8_pow. 50 r.ż.'!$C$3:'8_pow. 50 r.ż.'!C22,'8_pow. 50 r.ż.'!C22)-1</f>
        <v>19</v>
      </c>
      <c r="C23" s="8" t="str">
        <f>INDEX('8_pow. 50 r.ż.'!B3:G28,MATCH(20,B4:B29,0),1)</f>
        <v>niżański</v>
      </c>
      <c r="D23" s="10">
        <f>INDEX('8_pow. 50 r.ż.'!B3:G28,MATCH(20,B4:B29,0),2)</f>
        <v>779</v>
      </c>
      <c r="E23" s="9">
        <f>INDEX('8_pow. 50 r.ż.'!B3:G28,MATCH(20,B4:B29,0),3)</f>
        <v>787</v>
      </c>
      <c r="F23" s="10">
        <f>INDEX('8_pow. 50 r.ż.'!B3:G28,MATCH(20,B4:B29,0),4)</f>
        <v>-8</v>
      </c>
      <c r="G23" s="9">
        <f>INDEX('8_pow. 50 r.ż.'!B3:G28,MATCH(20,B4:B29,0),5)</f>
        <v>808</v>
      </c>
      <c r="H23" s="10">
        <f>INDEX('8_pow. 50 r.ż.'!B3:G28,MATCH(20,B4:B29,0),6)</f>
        <v>-29</v>
      </c>
    </row>
    <row r="24" spans="2:8" x14ac:dyDescent="0.2">
      <c r="B24" s="10">
        <f>RANK('8_pow. 50 r.ż.'!C23,'8_pow. 50 r.ż.'!$C$3:'8_pow. 50 r.ż.'!$C$28,1)+COUNTIF('8_pow. 50 r.ż.'!$C$3:'8_pow. 50 r.ż.'!C23,'8_pow. 50 r.ż.'!C23)-1</f>
        <v>3</v>
      </c>
      <c r="C24" s="8" t="str">
        <f>INDEX('8_pow. 50 r.ż.'!B3:G28,MATCH(21,B4:B29,0),1)</f>
        <v>brzozowski</v>
      </c>
      <c r="D24" s="10">
        <f>INDEX('8_pow. 50 r.ż.'!B3:G28,MATCH(21,B4:B29,0),2)</f>
        <v>997</v>
      </c>
      <c r="E24" s="9">
        <f>INDEX('8_pow. 50 r.ż.'!B3:G28,MATCH(21,B4:B29,0),3)</f>
        <v>994</v>
      </c>
      <c r="F24" s="10">
        <f>INDEX('8_pow. 50 r.ż.'!B3:G28,MATCH(21,B4:B29,0),4)</f>
        <v>3</v>
      </c>
      <c r="G24" s="9">
        <f>INDEX('8_pow. 50 r.ż.'!B3:G28,MATCH(21,B4:B29,0),5)</f>
        <v>1017</v>
      </c>
      <c r="H24" s="10">
        <f>INDEX('8_pow. 50 r.ż.'!B3:G28,MATCH(21,B4:B29,0),6)</f>
        <v>-20</v>
      </c>
    </row>
    <row r="25" spans="2:8" x14ac:dyDescent="0.2">
      <c r="B25" s="10">
        <f>RANK('8_pow. 50 r.ż.'!C24,'8_pow. 50 r.ż.'!$C$3:'8_pow. 50 r.ż.'!$C$28,1)+COUNTIF('8_pow. 50 r.ż.'!$C$3:'8_pow. 50 r.ż.'!C24,'8_pow. 50 r.ż.'!C24)-1</f>
        <v>1</v>
      </c>
      <c r="C25" s="8" t="str">
        <f>INDEX('8_pow. 50 r.ż.'!B3:G28,MATCH(22,B4:B29,0),1)</f>
        <v>jasielski</v>
      </c>
      <c r="D25" s="10">
        <f>INDEX('8_pow. 50 r.ż.'!B3:G28,MATCH(22,B4:B29,0),2)</f>
        <v>1116</v>
      </c>
      <c r="E25" s="9">
        <f>INDEX('8_pow. 50 r.ż.'!B3:G28,MATCH(22,B4:B29,0),3)</f>
        <v>1122</v>
      </c>
      <c r="F25" s="10">
        <f>INDEX('8_pow. 50 r.ż.'!B3:G28,MATCH(22,B4:B29,0),4)</f>
        <v>-6</v>
      </c>
      <c r="G25" s="9">
        <f>INDEX('8_pow. 50 r.ż.'!B3:G28,MATCH(22,B4:B29,0),5)</f>
        <v>1206</v>
      </c>
      <c r="H25" s="10">
        <f>INDEX('8_pow. 50 r.ż.'!B3:G28,MATCH(22,B4:B29,0),6)</f>
        <v>-90</v>
      </c>
    </row>
    <row r="26" spans="2:8" x14ac:dyDescent="0.2">
      <c r="B26" s="10">
        <f>RANK('8_pow. 50 r.ż.'!C25,'8_pow. 50 r.ż.'!$C$3:'8_pow. 50 r.ż.'!$C$28,1)+COUNTIF('8_pow. 50 r.ż.'!$C$3:'8_pow. 50 r.ż.'!C25,'8_pow. 50 r.ż.'!C25)-1</f>
        <v>18</v>
      </c>
      <c r="C26" s="8" t="str">
        <f>INDEX('8_pow. 50 r.ż.'!B3:G28,MATCH(23,B4:B29,0),1)</f>
        <v>jarosławski</v>
      </c>
      <c r="D26" s="10">
        <f>INDEX('8_pow. 50 r.ż.'!B3:G28,MATCH(23,B4:B29,0),2)</f>
        <v>1118</v>
      </c>
      <c r="E26" s="9">
        <f>INDEX('8_pow. 50 r.ż.'!B3:G28,MATCH(23,B4:B29,0),3)</f>
        <v>1143</v>
      </c>
      <c r="F26" s="10">
        <f>INDEX('8_pow. 50 r.ż.'!B3:G28,MATCH(23,B4:B29,0),4)</f>
        <v>-25</v>
      </c>
      <c r="G26" s="9">
        <f>INDEX('8_pow. 50 r.ż.'!B3:G28,MATCH(23,B4:B29,0),5)</f>
        <v>1293</v>
      </c>
      <c r="H26" s="10">
        <f>INDEX('8_pow. 50 r.ż.'!B3:G28,MATCH(23,B4:B29,0),6)</f>
        <v>-175</v>
      </c>
    </row>
    <row r="27" spans="2:8" x14ac:dyDescent="0.2">
      <c r="B27" s="10">
        <f>RANK('8_pow. 50 r.ż.'!C26,'8_pow. 50 r.ż.'!$C$3:'8_pow. 50 r.ż.'!$C$28,1)+COUNTIF('8_pow. 50 r.ż.'!$C$3:'8_pow. 50 r.ż.'!C26,'8_pow. 50 r.ż.'!C26)-1</f>
        <v>25</v>
      </c>
      <c r="C27" s="8" t="str">
        <f>INDEX('8_pow. 50 r.ż.'!B3:G28,MATCH(24,B4:B29,0),1)</f>
        <v>rzeszowski</v>
      </c>
      <c r="D27" s="10">
        <f>INDEX('8_pow. 50 r.ż.'!B3:G28,MATCH(24,B4:B29,0),2)</f>
        <v>1219</v>
      </c>
      <c r="E27" s="9">
        <f>INDEX('8_pow. 50 r.ż.'!B3:G28,MATCH(24,B4:B29,0),3)</f>
        <v>1218</v>
      </c>
      <c r="F27" s="10">
        <f>INDEX('8_pow. 50 r.ż.'!B3:G28,MATCH(24,B4:B29,0),4)</f>
        <v>1</v>
      </c>
      <c r="G27" s="9">
        <f>INDEX('8_pow. 50 r.ż.'!B3:G28,MATCH(24,B4:B29,0),5)</f>
        <v>1380</v>
      </c>
      <c r="H27" s="10">
        <f>INDEX('8_pow. 50 r.ż.'!B3:G28,MATCH(24,B4:B29,0),6)</f>
        <v>-161</v>
      </c>
    </row>
    <row r="28" spans="2:8" x14ac:dyDescent="0.2">
      <c r="B28" s="10">
        <f>RANK('8_pow. 50 r.ż.'!C27,'8_pow. 50 r.ż.'!$C$3:'8_pow. 50 r.ż.'!$C$28,1)+COUNTIF('8_pow. 50 r.ż.'!$C$3:'8_pow. 50 r.ż.'!C27,'8_pow. 50 r.ż.'!C27)-1</f>
        <v>4</v>
      </c>
      <c r="C28" s="8" t="str">
        <f>INDEX('8_pow. 50 r.ż.'!B3:G28,MATCH(25,B4:B29,0),1)</f>
        <v>Rzeszów</v>
      </c>
      <c r="D28" s="10">
        <f>INDEX('8_pow. 50 r.ż.'!B3:G28,MATCH(25,B4:B29,0),2)</f>
        <v>1571</v>
      </c>
      <c r="E28" s="9">
        <f>INDEX('8_pow. 50 r.ż.'!B3:G28,MATCH(25,B4:B29,0),3)</f>
        <v>1582</v>
      </c>
      <c r="F28" s="10">
        <f>INDEX('8_pow. 50 r.ż.'!B3:G28,MATCH(25,B4:B29,0),4)</f>
        <v>-11</v>
      </c>
      <c r="G28" s="9">
        <f>INDEX('8_pow. 50 r.ż.'!B3:G28,MATCH(25,B4:B29,0),5)</f>
        <v>1766</v>
      </c>
      <c r="H28" s="10">
        <f>INDEX('8_pow. 50 r.ż.'!B3:G28,MATCH(25,B4:B29,0),6)</f>
        <v>-195</v>
      </c>
    </row>
    <row r="29" spans="2:8" ht="15" x14ac:dyDescent="0.25">
      <c r="B29" s="34">
        <f>RANK('8_pow. 50 r.ż.'!C28,'8_pow. 50 r.ż.'!$C$3:'8_pow. 50 r.ż.'!$C$28,1)+COUNTIF('8_pow. 50 r.ż.'!$C$3:'8_pow. 50 r.ż.'!C28,'8_pow. 50 r.ż.'!C28)-1</f>
        <v>26</v>
      </c>
      <c r="C29" s="35" t="str">
        <f>INDEX('8_pow. 50 r.ż.'!B3:G28,MATCH(26,B4:B29,0),1)</f>
        <v>województwo</v>
      </c>
      <c r="D29" s="34">
        <f>INDEX('8_pow. 50 r.ż.'!B3:G28,MATCH(26,B4:B29,0),2)</f>
        <v>17163</v>
      </c>
      <c r="E29" s="17">
        <f>INDEX('8_pow. 50 r.ż.'!B3:G28,MATCH(26,B4:B29,0),3)</f>
        <v>17368</v>
      </c>
      <c r="F29" s="34">
        <f>INDEX('8_pow. 50 r.ż.'!B3:G28,MATCH(26,B4:B29,0),4)</f>
        <v>-205</v>
      </c>
      <c r="G29" s="17">
        <f>INDEX('8_pow. 50 r.ż.'!B3:G28,MATCH(26,B4:B29,0),5)</f>
        <v>18905</v>
      </c>
      <c r="H29" s="34">
        <f>INDEX('8_pow. 50 r.ż.'!B3:G28,MATCH(26,B4:B29,0),6)</f>
        <v>-1742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31"/>
  <sheetViews>
    <sheetView zoomScale="90" zoomScaleNormal="9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6.85546875" style="3" customWidth="1"/>
    <col min="6" max="6" width="11.28515625" style="3" customWidth="1"/>
    <col min="7" max="7" width="17.140625" style="3" customWidth="1"/>
    <col min="8" max="8" width="3.85546875" style="3" customWidth="1"/>
    <col min="9" max="16384" width="9.140625" style="3"/>
  </cols>
  <sheetData>
    <row r="1" spans="2:8" ht="20.25" customHeight="1" x14ac:dyDescent="0.2">
      <c r="B1" s="1" t="s">
        <v>30</v>
      </c>
      <c r="C1" s="70"/>
      <c r="D1" s="70"/>
      <c r="E1" s="70"/>
      <c r="F1" s="70"/>
      <c r="G1" s="70"/>
    </row>
    <row r="2" spans="2:8" ht="57" x14ac:dyDescent="0.2">
      <c r="B2" s="5" t="s">
        <v>27</v>
      </c>
      <c r="C2" s="6" t="s">
        <v>125</v>
      </c>
      <c r="D2" s="7" t="s">
        <v>107</v>
      </c>
      <c r="E2" s="6" t="s">
        <v>28</v>
      </c>
      <c r="F2" s="7" t="s">
        <v>126</v>
      </c>
      <c r="G2" s="6" t="s">
        <v>26</v>
      </c>
    </row>
    <row r="3" spans="2:8" x14ac:dyDescent="0.2">
      <c r="B3" s="8" t="s">
        <v>0</v>
      </c>
      <c r="C3" s="73">
        <v>36</v>
      </c>
      <c r="D3" s="9">
        <v>32</v>
      </c>
      <c r="E3" s="73">
        <f t="shared" ref="E3:E27" si="0">SUM(C3)-D3</f>
        <v>4</v>
      </c>
      <c r="F3" s="9">
        <v>25</v>
      </c>
      <c r="G3" s="73">
        <f t="shared" ref="G3:G27" si="1">SUM(C3)-F3</f>
        <v>11</v>
      </c>
      <c r="H3" s="11"/>
    </row>
    <row r="4" spans="2:8" x14ac:dyDescent="0.2">
      <c r="B4" s="8" t="s">
        <v>1</v>
      </c>
      <c r="C4" s="73">
        <v>70</v>
      </c>
      <c r="D4" s="9">
        <v>79</v>
      </c>
      <c r="E4" s="73">
        <f t="shared" si="0"/>
        <v>-9</v>
      </c>
      <c r="F4" s="9">
        <v>97</v>
      </c>
      <c r="G4" s="73">
        <f t="shared" si="1"/>
        <v>-27</v>
      </c>
      <c r="H4" s="11"/>
    </row>
    <row r="5" spans="2:8" x14ac:dyDescent="0.2">
      <c r="B5" s="8" t="s">
        <v>2</v>
      </c>
      <c r="C5" s="73">
        <v>360</v>
      </c>
      <c r="D5" s="9">
        <v>381</v>
      </c>
      <c r="E5" s="73">
        <f t="shared" si="0"/>
        <v>-21</v>
      </c>
      <c r="F5" s="9">
        <v>377</v>
      </c>
      <c r="G5" s="73">
        <f t="shared" si="1"/>
        <v>-17</v>
      </c>
      <c r="H5" s="11"/>
    </row>
    <row r="6" spans="2:8" x14ac:dyDescent="0.2">
      <c r="B6" s="8" t="s">
        <v>3</v>
      </c>
      <c r="C6" s="73">
        <v>173</v>
      </c>
      <c r="D6" s="9">
        <v>206</v>
      </c>
      <c r="E6" s="73">
        <f t="shared" si="0"/>
        <v>-33</v>
      </c>
      <c r="F6" s="9">
        <v>182</v>
      </c>
      <c r="G6" s="73">
        <f t="shared" si="1"/>
        <v>-9</v>
      </c>
      <c r="H6" s="11"/>
    </row>
    <row r="7" spans="2:8" x14ac:dyDescent="0.2">
      <c r="B7" s="8" t="s">
        <v>4</v>
      </c>
      <c r="C7" s="73">
        <v>178</v>
      </c>
      <c r="D7" s="9">
        <v>173</v>
      </c>
      <c r="E7" s="73">
        <f t="shared" si="0"/>
        <v>5</v>
      </c>
      <c r="F7" s="9">
        <v>180</v>
      </c>
      <c r="G7" s="73">
        <f t="shared" si="1"/>
        <v>-2</v>
      </c>
      <c r="H7" s="11"/>
    </row>
    <row r="8" spans="2:8" x14ac:dyDescent="0.2">
      <c r="B8" s="8" t="s">
        <v>5</v>
      </c>
      <c r="C8" s="73">
        <v>125</v>
      </c>
      <c r="D8" s="9">
        <v>92</v>
      </c>
      <c r="E8" s="73">
        <f t="shared" si="0"/>
        <v>33</v>
      </c>
      <c r="F8" s="9">
        <v>85</v>
      </c>
      <c r="G8" s="73">
        <f t="shared" si="1"/>
        <v>40</v>
      </c>
      <c r="H8" s="11"/>
    </row>
    <row r="9" spans="2:8" x14ac:dyDescent="0.2">
      <c r="B9" s="13" t="s">
        <v>6</v>
      </c>
      <c r="C9" s="73">
        <v>58</v>
      </c>
      <c r="D9" s="9">
        <v>95</v>
      </c>
      <c r="E9" s="73">
        <f t="shared" si="0"/>
        <v>-37</v>
      </c>
      <c r="F9" s="9">
        <v>52</v>
      </c>
      <c r="G9" s="73">
        <f t="shared" si="1"/>
        <v>6</v>
      </c>
      <c r="H9" s="11"/>
    </row>
    <row r="10" spans="2:8" x14ac:dyDescent="0.2">
      <c r="B10" s="8" t="s">
        <v>7</v>
      </c>
      <c r="C10" s="73">
        <v>22</v>
      </c>
      <c r="D10" s="9">
        <v>44</v>
      </c>
      <c r="E10" s="73">
        <f t="shared" si="0"/>
        <v>-22</v>
      </c>
      <c r="F10" s="9">
        <v>70</v>
      </c>
      <c r="G10" s="73">
        <f t="shared" si="1"/>
        <v>-48</v>
      </c>
      <c r="H10" s="11"/>
    </row>
    <row r="11" spans="2:8" x14ac:dyDescent="0.2">
      <c r="B11" s="8" t="s">
        <v>8</v>
      </c>
      <c r="C11" s="73">
        <v>104</v>
      </c>
      <c r="D11" s="9">
        <v>137</v>
      </c>
      <c r="E11" s="73">
        <f t="shared" si="0"/>
        <v>-33</v>
      </c>
      <c r="F11" s="9">
        <v>95</v>
      </c>
      <c r="G11" s="73">
        <f t="shared" si="1"/>
        <v>9</v>
      </c>
      <c r="H11" s="11"/>
    </row>
    <row r="12" spans="2:8" x14ac:dyDescent="0.2">
      <c r="B12" s="8" t="s">
        <v>9</v>
      </c>
      <c r="C12" s="73">
        <v>55</v>
      </c>
      <c r="D12" s="9">
        <v>90</v>
      </c>
      <c r="E12" s="73">
        <f t="shared" si="0"/>
        <v>-35</v>
      </c>
      <c r="F12" s="9">
        <v>76</v>
      </c>
      <c r="G12" s="73">
        <f t="shared" si="1"/>
        <v>-21</v>
      </c>
      <c r="H12" s="11"/>
    </row>
    <row r="13" spans="2:8" x14ac:dyDescent="0.2">
      <c r="B13" s="8" t="s">
        <v>10</v>
      </c>
      <c r="C13" s="73">
        <v>83</v>
      </c>
      <c r="D13" s="9">
        <v>107</v>
      </c>
      <c r="E13" s="73">
        <f t="shared" si="0"/>
        <v>-24</v>
      </c>
      <c r="F13" s="9">
        <v>116</v>
      </c>
      <c r="G13" s="73">
        <f t="shared" si="1"/>
        <v>-33</v>
      </c>
      <c r="H13" s="11"/>
    </row>
    <row r="14" spans="2:8" x14ac:dyDescent="0.2">
      <c r="B14" s="8" t="s">
        <v>11</v>
      </c>
      <c r="C14" s="73">
        <v>419</v>
      </c>
      <c r="D14" s="9">
        <v>370</v>
      </c>
      <c r="E14" s="73">
        <f t="shared" si="0"/>
        <v>49</v>
      </c>
      <c r="F14" s="9">
        <v>574</v>
      </c>
      <c r="G14" s="73">
        <f t="shared" si="1"/>
        <v>-155</v>
      </c>
      <c r="H14" s="11"/>
    </row>
    <row r="15" spans="2:8" x14ac:dyDescent="0.2">
      <c r="B15" s="8" t="s">
        <v>12</v>
      </c>
      <c r="C15" s="73">
        <v>87</v>
      </c>
      <c r="D15" s="9">
        <v>121</v>
      </c>
      <c r="E15" s="73">
        <f t="shared" si="0"/>
        <v>-34</v>
      </c>
      <c r="F15" s="9">
        <v>113</v>
      </c>
      <c r="G15" s="73">
        <f t="shared" si="1"/>
        <v>-26</v>
      </c>
      <c r="H15" s="11"/>
    </row>
    <row r="16" spans="2:8" x14ac:dyDescent="0.2">
      <c r="B16" s="8" t="s">
        <v>13</v>
      </c>
      <c r="C16" s="73">
        <v>30</v>
      </c>
      <c r="D16" s="9">
        <v>39</v>
      </c>
      <c r="E16" s="73">
        <f t="shared" si="0"/>
        <v>-9</v>
      </c>
      <c r="F16" s="9">
        <v>50</v>
      </c>
      <c r="G16" s="73">
        <f t="shared" si="1"/>
        <v>-20</v>
      </c>
      <c r="H16" s="11"/>
    </row>
    <row r="17" spans="2:8" x14ac:dyDescent="0.2">
      <c r="B17" s="8" t="s">
        <v>14</v>
      </c>
      <c r="C17" s="73">
        <v>178</v>
      </c>
      <c r="D17" s="9">
        <v>212</v>
      </c>
      <c r="E17" s="73">
        <f t="shared" si="0"/>
        <v>-34</v>
      </c>
      <c r="F17" s="9">
        <v>67</v>
      </c>
      <c r="G17" s="73">
        <f t="shared" si="1"/>
        <v>111</v>
      </c>
      <c r="H17" s="11"/>
    </row>
    <row r="18" spans="2:8" x14ac:dyDescent="0.2">
      <c r="B18" s="8" t="s">
        <v>15</v>
      </c>
      <c r="C18" s="73">
        <v>159</v>
      </c>
      <c r="D18" s="9">
        <v>118</v>
      </c>
      <c r="E18" s="73">
        <f t="shared" si="0"/>
        <v>41</v>
      </c>
      <c r="F18" s="9">
        <v>182</v>
      </c>
      <c r="G18" s="73">
        <f t="shared" si="1"/>
        <v>-23</v>
      </c>
      <c r="H18" s="11"/>
    </row>
    <row r="19" spans="2:8" x14ac:dyDescent="0.2">
      <c r="B19" s="8" t="s">
        <v>16</v>
      </c>
      <c r="C19" s="73">
        <v>183</v>
      </c>
      <c r="D19" s="9">
        <v>161</v>
      </c>
      <c r="E19" s="73">
        <f t="shared" si="0"/>
        <v>22</v>
      </c>
      <c r="F19" s="9">
        <v>235</v>
      </c>
      <c r="G19" s="73">
        <f t="shared" si="1"/>
        <v>-52</v>
      </c>
      <c r="H19" s="11"/>
    </row>
    <row r="20" spans="2:8" x14ac:dyDescent="0.2">
      <c r="B20" s="8" t="s">
        <v>17</v>
      </c>
      <c r="C20" s="73">
        <v>96</v>
      </c>
      <c r="D20" s="9">
        <v>115</v>
      </c>
      <c r="E20" s="73">
        <f t="shared" si="0"/>
        <v>-19</v>
      </c>
      <c r="F20" s="9">
        <v>202</v>
      </c>
      <c r="G20" s="73">
        <f t="shared" si="1"/>
        <v>-106</v>
      </c>
      <c r="H20" s="11"/>
    </row>
    <row r="21" spans="2:8" x14ac:dyDescent="0.2">
      <c r="B21" s="8" t="s">
        <v>18</v>
      </c>
      <c r="C21" s="73">
        <v>143</v>
      </c>
      <c r="D21" s="9">
        <v>273</v>
      </c>
      <c r="E21" s="73">
        <f t="shared" si="0"/>
        <v>-130</v>
      </c>
      <c r="F21" s="9">
        <v>108</v>
      </c>
      <c r="G21" s="73">
        <f t="shared" si="1"/>
        <v>35</v>
      </c>
      <c r="H21" s="11"/>
    </row>
    <row r="22" spans="2:8" x14ac:dyDescent="0.2">
      <c r="B22" s="8" t="s">
        <v>19</v>
      </c>
      <c r="C22" s="73">
        <v>179</v>
      </c>
      <c r="D22" s="9">
        <v>159</v>
      </c>
      <c r="E22" s="73">
        <f t="shared" si="0"/>
        <v>20</v>
      </c>
      <c r="F22" s="9">
        <v>194</v>
      </c>
      <c r="G22" s="73">
        <f t="shared" si="1"/>
        <v>-15</v>
      </c>
      <c r="H22" s="11"/>
    </row>
    <row r="23" spans="2:8" x14ac:dyDescent="0.2">
      <c r="B23" s="8" t="s">
        <v>20</v>
      </c>
      <c r="C23" s="73">
        <v>195</v>
      </c>
      <c r="D23" s="9">
        <v>163</v>
      </c>
      <c r="E23" s="73">
        <f t="shared" si="0"/>
        <v>32</v>
      </c>
      <c r="F23" s="9">
        <v>140</v>
      </c>
      <c r="G23" s="73">
        <f t="shared" si="1"/>
        <v>55</v>
      </c>
      <c r="H23" s="11"/>
    </row>
    <row r="24" spans="2:8" x14ac:dyDescent="0.2">
      <c r="B24" s="8" t="s">
        <v>21</v>
      </c>
      <c r="C24" s="73">
        <v>66</v>
      </c>
      <c r="D24" s="9">
        <v>79</v>
      </c>
      <c r="E24" s="73">
        <f t="shared" si="0"/>
        <v>-13</v>
      </c>
      <c r="F24" s="9">
        <v>97</v>
      </c>
      <c r="G24" s="73">
        <f t="shared" si="1"/>
        <v>-31</v>
      </c>
      <c r="H24" s="11"/>
    </row>
    <row r="25" spans="2:8" x14ac:dyDescent="0.2">
      <c r="B25" s="8" t="s">
        <v>22</v>
      </c>
      <c r="C25" s="73">
        <v>89</v>
      </c>
      <c r="D25" s="9">
        <v>76</v>
      </c>
      <c r="E25" s="73">
        <f t="shared" si="0"/>
        <v>13</v>
      </c>
      <c r="F25" s="9">
        <v>80</v>
      </c>
      <c r="G25" s="73">
        <f t="shared" si="1"/>
        <v>9</v>
      </c>
      <c r="H25" s="11"/>
    </row>
    <row r="26" spans="2:8" x14ac:dyDescent="0.2">
      <c r="B26" s="8" t="s">
        <v>23</v>
      </c>
      <c r="C26" s="73">
        <v>558</v>
      </c>
      <c r="D26" s="9">
        <v>553</v>
      </c>
      <c r="E26" s="73">
        <f t="shared" si="0"/>
        <v>5</v>
      </c>
      <c r="F26" s="9">
        <v>592</v>
      </c>
      <c r="G26" s="73">
        <f t="shared" si="1"/>
        <v>-34</v>
      </c>
      <c r="H26" s="11"/>
    </row>
    <row r="27" spans="2:8" x14ac:dyDescent="0.2">
      <c r="B27" s="8" t="s">
        <v>24</v>
      </c>
      <c r="C27" s="73">
        <v>140</v>
      </c>
      <c r="D27" s="9">
        <v>93</v>
      </c>
      <c r="E27" s="73">
        <f t="shared" si="0"/>
        <v>47</v>
      </c>
      <c r="F27" s="9">
        <v>108</v>
      </c>
      <c r="G27" s="73">
        <f t="shared" si="1"/>
        <v>32</v>
      </c>
      <c r="H27" s="11"/>
    </row>
    <row r="28" spans="2:8" ht="15" x14ac:dyDescent="0.25">
      <c r="B28" s="15" t="s">
        <v>25</v>
      </c>
      <c r="C28" s="74">
        <f>SUM(C3:C27)</f>
        <v>3786</v>
      </c>
      <c r="D28" s="17">
        <f>SUM(D3:D27)</f>
        <v>3968</v>
      </c>
      <c r="E28" s="74">
        <f>SUM(E3:E27)</f>
        <v>-182</v>
      </c>
      <c r="F28" s="17">
        <f>SUM(F3:F27)</f>
        <v>4097</v>
      </c>
      <c r="G28" s="74">
        <f>SUM(G3:G27)</f>
        <v>-311</v>
      </c>
      <c r="H28" s="11"/>
    </row>
    <row r="29" spans="2:8" ht="12" customHeight="1" x14ac:dyDescent="0.2">
      <c r="B29" s="4"/>
      <c r="E29" s="11"/>
      <c r="G29" s="11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1.140625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31"/>
      <c r="D2" s="32"/>
    </row>
    <row r="3" spans="2:8" ht="57" x14ac:dyDescent="0.2">
      <c r="B3" s="33" t="s">
        <v>88</v>
      </c>
      <c r="C3" s="5" t="str">
        <f>T('9_oferty p.'!B2)</f>
        <v>powiaty</v>
      </c>
      <c r="D3" s="5" t="str">
        <f>T('9_oferty p.'!C2)</f>
        <v>liczba ofert w VII '22 r.</v>
      </c>
      <c r="E3" s="5" t="str">
        <f>T('9_oferty p.'!D2)</f>
        <v>liczba ofert w VI '22 r.</v>
      </c>
      <c r="F3" s="5" t="str">
        <f>T('9_oferty p.'!E2)</f>
        <v>wzrost/spadek do poprzedniego  miesiąca</v>
      </c>
      <c r="G3" s="5" t="str">
        <f>T('9_oferty p.'!F2)</f>
        <v>liczba ofert w VII '21 r.</v>
      </c>
      <c r="H3" s="5" t="str">
        <f>T('9_oferty p.'!G2)</f>
        <v>wzrost/spadek do analogicznego okresu ubr.</v>
      </c>
    </row>
    <row r="4" spans="2:8" x14ac:dyDescent="0.2">
      <c r="B4" s="10">
        <f>RANK('9_oferty p.'!C3,'9_oferty p.'!$C$3:'9_oferty p.'!$C$28,1)+COUNTIF('9_oferty p.'!$C$3:'9_oferty p.'!C3,'9_oferty p.'!C3)-1</f>
        <v>3</v>
      </c>
      <c r="C4" s="8" t="str">
        <f>INDEX('9_oferty p.'!B3:G28,MATCH(1,B4:B29,0),1)</f>
        <v>leski</v>
      </c>
      <c r="D4" s="39">
        <f>INDEX('9_oferty p.'!B3:G28,MATCH(1,B4:B29,0),2)</f>
        <v>22</v>
      </c>
      <c r="E4" s="9">
        <f>INDEX('9_oferty p.'!B3:G28,MATCH(1,B4:B29,0),3)</f>
        <v>44</v>
      </c>
      <c r="F4" s="10">
        <f>INDEX('9_oferty p.'!B3:G28,MATCH(1,B4:B29,0),4)</f>
        <v>-22</v>
      </c>
      <c r="G4" s="9">
        <f>INDEX('9_oferty p.'!B3:G28,MATCH(1,B4:B29,0),5)</f>
        <v>70</v>
      </c>
      <c r="H4" s="10">
        <f>INDEX('9_oferty p.'!B3:G28,MATCH(1,B4:B29,0),6)</f>
        <v>-48</v>
      </c>
    </row>
    <row r="5" spans="2:8" x14ac:dyDescent="0.2">
      <c r="B5" s="10">
        <f>RANK('9_oferty p.'!C4,'9_oferty p.'!$C$3:'9_oferty p.'!$C$28,1)+COUNTIF('9_oferty p.'!$C$3:'9_oferty p.'!C4,'9_oferty p.'!C4)-1</f>
        <v>7</v>
      </c>
      <c r="C5" s="8" t="str">
        <f>INDEX('9_oferty p.'!B3:G28,MATCH(2,B4:B29,0),1)</f>
        <v>przemyski</v>
      </c>
      <c r="D5" s="10">
        <f>INDEX('9_oferty p.'!B3:G28,MATCH(2,B4:B29,0),2)</f>
        <v>30</v>
      </c>
      <c r="E5" s="9">
        <f>INDEX('9_oferty p.'!B3:G28,MATCH(2,B4:B29,0),3)</f>
        <v>39</v>
      </c>
      <c r="F5" s="10">
        <f>INDEX('9_oferty p.'!B3:G28,MATCH(2,B4:B29,0),4)</f>
        <v>-9</v>
      </c>
      <c r="G5" s="9">
        <f>INDEX('9_oferty p.'!B3:G28,MATCH(2,B4:B29,0),5)</f>
        <v>50</v>
      </c>
      <c r="H5" s="10">
        <f>INDEX('9_oferty p.'!B3:G28,MATCH(2,B4:B29,0),6)</f>
        <v>-20</v>
      </c>
    </row>
    <row r="6" spans="2:8" x14ac:dyDescent="0.2">
      <c r="B6" s="10">
        <f>RANK('9_oferty p.'!C5,'9_oferty p.'!$C$3:'9_oferty p.'!$C$28,1)+COUNTIF('9_oferty p.'!$C$3:'9_oferty p.'!C5,'9_oferty p.'!C5)-1</f>
        <v>23</v>
      </c>
      <c r="C6" s="8" t="str">
        <f>INDEX('9_oferty p.'!B3:G28,MATCH(3,B4:B29,0),1)</f>
        <v>bieszczadzki</v>
      </c>
      <c r="D6" s="10">
        <f>INDEX('9_oferty p.'!B3:G28,MATCH(3,B4:B29,0),2)</f>
        <v>36</v>
      </c>
      <c r="E6" s="9">
        <f>INDEX('9_oferty p.'!B3:G28,MATCH(3,B4:B29,0),3)</f>
        <v>32</v>
      </c>
      <c r="F6" s="10">
        <f>INDEX('9_oferty p.'!B3:G28,MATCH(3,B4:B29,0),4)</f>
        <v>4</v>
      </c>
      <c r="G6" s="9">
        <f>INDEX('9_oferty p.'!B3:G28,MATCH(3,B4:B29,0),5)</f>
        <v>25</v>
      </c>
      <c r="H6" s="10">
        <f>INDEX('9_oferty p.'!B3:G28,MATCH(3,B4:B29,0),6)</f>
        <v>11</v>
      </c>
    </row>
    <row r="7" spans="2:8" x14ac:dyDescent="0.2">
      <c r="B7" s="10">
        <f>RANK('9_oferty p.'!C6,'9_oferty p.'!$C$3:'9_oferty p.'!$C$28,1)+COUNTIF('9_oferty p.'!$C$3:'9_oferty p.'!C6,'9_oferty p.'!C6)-1</f>
        <v>17</v>
      </c>
      <c r="C7" s="8" t="str">
        <f>INDEX('9_oferty p.'!B3:G28,MATCH(4,B4:B29,0),1)</f>
        <v>lubaczowski</v>
      </c>
      <c r="D7" s="10">
        <f>INDEX('9_oferty p.'!B3:G28,MATCH(4,B4:B29,0),2)</f>
        <v>55</v>
      </c>
      <c r="E7" s="9">
        <f>INDEX('9_oferty p.'!B3:G28,MATCH(4,B4:B29,0),3)</f>
        <v>90</v>
      </c>
      <c r="F7" s="10">
        <f>INDEX('9_oferty p.'!B3:G28,MATCH(4,B4:B29,0),4)</f>
        <v>-35</v>
      </c>
      <c r="G7" s="9">
        <f>INDEX('9_oferty p.'!B3:G28,MATCH(4,B4:B29,0),5)</f>
        <v>76</v>
      </c>
      <c r="H7" s="10">
        <f>INDEX('9_oferty p.'!B3:G28,MATCH(4,B4:B29,0),6)</f>
        <v>-21</v>
      </c>
    </row>
    <row r="8" spans="2:8" x14ac:dyDescent="0.2">
      <c r="B8" s="10">
        <f>RANK('9_oferty p.'!C7,'9_oferty p.'!$C$3:'9_oferty p.'!$C$28,1)+COUNTIF('9_oferty p.'!$C$3:'9_oferty p.'!C7,'9_oferty p.'!C7)-1</f>
        <v>18</v>
      </c>
      <c r="C8" s="8" t="str">
        <f>INDEX('9_oferty p.'!B3:G28,MATCH(5,B4:B29,0),1)</f>
        <v>krośnieński</v>
      </c>
      <c r="D8" s="10">
        <f>INDEX('9_oferty p.'!B3:G28,MATCH(5,B4:B29,0),2)</f>
        <v>58</v>
      </c>
      <c r="E8" s="9">
        <f>INDEX('9_oferty p.'!B3:G28,MATCH(5,B4:B29,0),3)</f>
        <v>95</v>
      </c>
      <c r="F8" s="10">
        <f>INDEX('9_oferty p.'!B3:G28,MATCH(5,B4:B29,0),4)</f>
        <v>-37</v>
      </c>
      <c r="G8" s="9">
        <f>INDEX('9_oferty p.'!B3:G28,MATCH(5,B4:B29,0),5)</f>
        <v>52</v>
      </c>
      <c r="H8" s="10">
        <f>INDEX('9_oferty p.'!B3:G28,MATCH(5,B4:B29,0),6)</f>
        <v>6</v>
      </c>
    </row>
    <row r="9" spans="2:8" x14ac:dyDescent="0.2">
      <c r="B9" s="10">
        <f>RANK('9_oferty p.'!C8,'9_oferty p.'!$C$3:'9_oferty p.'!$C$28,1)+COUNTIF('9_oferty p.'!$C$3:'9_oferty p.'!C8,'9_oferty p.'!C8)-1</f>
        <v>13</v>
      </c>
      <c r="C9" s="8" t="str">
        <f>INDEX('9_oferty p.'!B3:G28,MATCH(6,B4:B29,0),1)</f>
        <v>Krosno</v>
      </c>
      <c r="D9" s="10">
        <f>INDEX('9_oferty p.'!B3:G28,MATCH(6,B4:B29,0),2)</f>
        <v>66</v>
      </c>
      <c r="E9" s="9">
        <f>INDEX('9_oferty p.'!B3:G28,MATCH(6,B4:B29,0),3)</f>
        <v>79</v>
      </c>
      <c r="F9" s="10">
        <f>INDEX('9_oferty p.'!B3:G28,MATCH(6,B4:B29,0),4)</f>
        <v>-13</v>
      </c>
      <c r="G9" s="9">
        <f>INDEX('9_oferty p.'!B3:G28,MATCH(6,B4:B29,0),5)</f>
        <v>97</v>
      </c>
      <c r="H9" s="10">
        <f>INDEX('9_oferty p.'!B3:G28,MATCH(6,B4:B29,0),6)</f>
        <v>-31</v>
      </c>
    </row>
    <row r="10" spans="2:8" x14ac:dyDescent="0.2">
      <c r="B10" s="10">
        <f>RANK('9_oferty p.'!C9,'9_oferty p.'!$C$3:'9_oferty p.'!$C$28,1)+COUNTIF('9_oferty p.'!$C$3:'9_oferty p.'!C9,'9_oferty p.'!C9)-1</f>
        <v>5</v>
      </c>
      <c r="C10" s="13" t="str">
        <f>INDEX('9_oferty p.'!B3:G28,MATCH(7,B4:B29,0),1)</f>
        <v>brzozowski</v>
      </c>
      <c r="D10" s="10">
        <f>INDEX('9_oferty p.'!B3:G28,MATCH(7,B4:B29,0),2)</f>
        <v>70</v>
      </c>
      <c r="E10" s="9">
        <f>INDEX('9_oferty p.'!B3:G28,MATCH(7,B4:B29,0),3)</f>
        <v>79</v>
      </c>
      <c r="F10" s="10">
        <f>INDEX('9_oferty p.'!B3:G28,MATCH(7,B4:B29,0),4)</f>
        <v>-9</v>
      </c>
      <c r="G10" s="9">
        <f>INDEX('9_oferty p.'!B3:G28,MATCH(7,B4:B29,0),5)</f>
        <v>97</v>
      </c>
      <c r="H10" s="10">
        <f>INDEX('9_oferty p.'!B3:G28,MATCH(7,B4:B29,0),6)</f>
        <v>-27</v>
      </c>
    </row>
    <row r="11" spans="2:8" x14ac:dyDescent="0.2">
      <c r="B11" s="10">
        <f>RANK('9_oferty p.'!C10,'9_oferty p.'!$C$3:'9_oferty p.'!$C$28,1)+COUNTIF('9_oferty p.'!$C$3:'9_oferty p.'!C10,'9_oferty p.'!C10)-1</f>
        <v>1</v>
      </c>
      <c r="C11" s="8" t="str">
        <f>INDEX('9_oferty p.'!B3:G28,MATCH(8,B4:B29,0),1)</f>
        <v>łańcucki</v>
      </c>
      <c r="D11" s="10">
        <f>INDEX('9_oferty p.'!B3:G28,MATCH(8,B4:B29,0),2)</f>
        <v>83</v>
      </c>
      <c r="E11" s="9">
        <f>INDEX('9_oferty p.'!B3:G28,MATCH(8,B4:B29,0),3)</f>
        <v>107</v>
      </c>
      <c r="F11" s="10">
        <f>INDEX('9_oferty p.'!B3:G28,MATCH(8,B4:B29,0),4)</f>
        <v>-24</v>
      </c>
      <c r="G11" s="9">
        <f>INDEX('9_oferty p.'!B3:G28,MATCH(8,B4:B29,0),5)</f>
        <v>116</v>
      </c>
      <c r="H11" s="10">
        <f>INDEX('9_oferty p.'!B3:G28,MATCH(8,B4:B29,0),6)</f>
        <v>-33</v>
      </c>
    </row>
    <row r="12" spans="2:8" x14ac:dyDescent="0.2">
      <c r="B12" s="10">
        <f>RANK('9_oferty p.'!C11,'9_oferty p.'!$C$3:'9_oferty p.'!$C$28,1)+COUNTIF('9_oferty p.'!$C$3:'9_oferty p.'!C11,'9_oferty p.'!C11)-1</f>
        <v>12</v>
      </c>
      <c r="C12" s="8" t="str">
        <f>INDEX('9_oferty p.'!B3:G28,MATCH(9,B4:B29,0),1)</f>
        <v>niżański</v>
      </c>
      <c r="D12" s="10">
        <f>INDEX('9_oferty p.'!B3:G28,MATCH(9,B4:B29,0),2)</f>
        <v>87</v>
      </c>
      <c r="E12" s="9">
        <f>INDEX('9_oferty p.'!B3:G28,MATCH(9,B4:B29,0),3)</f>
        <v>121</v>
      </c>
      <c r="F12" s="10">
        <f>INDEX('9_oferty p.'!B3:G28,MATCH(9,B4:B29,0),4)</f>
        <v>-34</v>
      </c>
      <c r="G12" s="9">
        <f>INDEX('9_oferty p.'!B3:G28,MATCH(9,B4:B29,0),5)</f>
        <v>113</v>
      </c>
      <c r="H12" s="10">
        <f>INDEX('9_oferty p.'!B3:G28,MATCH(9,B4:B29,0),6)</f>
        <v>-26</v>
      </c>
    </row>
    <row r="13" spans="2:8" x14ac:dyDescent="0.2">
      <c r="B13" s="10">
        <f>RANK('9_oferty p.'!C12,'9_oferty p.'!$C$3:'9_oferty p.'!$C$28,1)+COUNTIF('9_oferty p.'!$C$3:'9_oferty p.'!C12,'9_oferty p.'!C12)-1</f>
        <v>4</v>
      </c>
      <c r="C13" s="8" t="str">
        <f>INDEX('9_oferty p.'!B3:G28,MATCH(10,B4:B29,0),1)</f>
        <v>Przemyśl</v>
      </c>
      <c r="D13" s="10">
        <f>INDEX('9_oferty p.'!B3:G28,MATCH(10,B4:B29,0),2)</f>
        <v>89</v>
      </c>
      <c r="E13" s="9">
        <f>INDEX('9_oferty p.'!B3:G28,MATCH(10,B4:B29,0),3)</f>
        <v>76</v>
      </c>
      <c r="F13" s="10">
        <f>INDEX('9_oferty p.'!B3:G28,MATCH(10,B4:B29,0),4)</f>
        <v>13</v>
      </c>
      <c r="G13" s="9">
        <f>INDEX('9_oferty p.'!B3:G28,MATCH(10,B4:B29,0),5)</f>
        <v>80</v>
      </c>
      <c r="H13" s="10">
        <f>INDEX('9_oferty p.'!B3:G28,MATCH(10,B4:B29,0),6)</f>
        <v>9</v>
      </c>
    </row>
    <row r="14" spans="2:8" x14ac:dyDescent="0.2">
      <c r="B14" s="10">
        <f>RANK('9_oferty p.'!C13,'9_oferty p.'!$C$3:'9_oferty p.'!$C$28,1)+COUNTIF('9_oferty p.'!$C$3:'9_oferty p.'!C13,'9_oferty p.'!C13)-1</f>
        <v>8</v>
      </c>
      <c r="C14" s="8" t="str">
        <f>INDEX('9_oferty p.'!B3:G28,MATCH(11,B4:B29,0),1)</f>
        <v>sanocki</v>
      </c>
      <c r="D14" s="10">
        <f>INDEX('9_oferty p.'!B3:G28,MATCH(11,B4:B29,0),2)</f>
        <v>96</v>
      </c>
      <c r="E14" s="9">
        <f>INDEX('9_oferty p.'!B3:G28,MATCH(11,B4:B29,0),3)</f>
        <v>115</v>
      </c>
      <c r="F14" s="10">
        <f>INDEX('9_oferty p.'!B3:G28,MATCH(11,B4:B29,0),4)</f>
        <v>-19</v>
      </c>
      <c r="G14" s="9">
        <f>INDEX('9_oferty p.'!B3:G28,MATCH(11,B4:B29,0),5)</f>
        <v>202</v>
      </c>
      <c r="H14" s="10">
        <f>INDEX('9_oferty p.'!B3:G28,MATCH(11,B4:B29,0),6)</f>
        <v>-106</v>
      </c>
    </row>
    <row r="15" spans="2:8" x14ac:dyDescent="0.2">
      <c r="B15" s="10">
        <f>RANK('9_oferty p.'!C14,'9_oferty p.'!$C$3:'9_oferty p.'!$C$28,1)+COUNTIF('9_oferty p.'!$C$3:'9_oferty p.'!C14,'9_oferty p.'!C14)-1</f>
        <v>24</v>
      </c>
      <c r="C15" s="8" t="str">
        <f>INDEX('9_oferty p.'!B3:G28,MATCH(12,B4:B29,0),1)</f>
        <v>leżajski</v>
      </c>
      <c r="D15" s="10">
        <f>INDEX('9_oferty p.'!B3:G28,MATCH(12,B4:B29,0),2)</f>
        <v>104</v>
      </c>
      <c r="E15" s="9">
        <f>INDEX('9_oferty p.'!B3:G28,MATCH(12,B4:B29,0),3)</f>
        <v>137</v>
      </c>
      <c r="F15" s="10">
        <f>INDEX('9_oferty p.'!B3:G28,MATCH(12,B4:B29,0),4)</f>
        <v>-33</v>
      </c>
      <c r="G15" s="9">
        <f>INDEX('9_oferty p.'!B3:G28,MATCH(12,B4:B29,0),5)</f>
        <v>95</v>
      </c>
      <c r="H15" s="10">
        <f>INDEX('9_oferty p.'!B3:G28,MATCH(12,B4:B29,0),6)</f>
        <v>9</v>
      </c>
    </row>
    <row r="16" spans="2:8" x14ac:dyDescent="0.2">
      <c r="B16" s="10">
        <f>RANK('9_oferty p.'!C15,'9_oferty p.'!$C$3:'9_oferty p.'!$C$28,1)+COUNTIF('9_oferty p.'!$C$3:'9_oferty p.'!C15,'9_oferty p.'!C15)-1</f>
        <v>9</v>
      </c>
      <c r="C16" s="8" t="str">
        <f>INDEX('9_oferty p.'!B3:G28,MATCH(13,B4:B29,0),1)</f>
        <v>kolbuszowski</v>
      </c>
      <c r="D16" s="10">
        <f>INDEX('9_oferty p.'!B3:G28,MATCH(13,B4:B29,0),2)</f>
        <v>125</v>
      </c>
      <c r="E16" s="9">
        <f>INDEX('9_oferty p.'!B3:G28,MATCH(13,B4:B29,0),3)</f>
        <v>92</v>
      </c>
      <c r="F16" s="10">
        <f>INDEX('9_oferty p.'!B3:G28,MATCH(13,B4:B29,0),4)</f>
        <v>33</v>
      </c>
      <c r="G16" s="9">
        <f>INDEX('9_oferty p.'!B3:G28,MATCH(13,B4:B29,0),5)</f>
        <v>85</v>
      </c>
      <c r="H16" s="10">
        <f>INDEX('9_oferty p.'!B3:G28,MATCH(13,B4:B29,0),6)</f>
        <v>40</v>
      </c>
    </row>
    <row r="17" spans="2:8" x14ac:dyDescent="0.2">
      <c r="B17" s="10">
        <f>RANK('9_oferty p.'!C16,'9_oferty p.'!$C$3:'9_oferty p.'!$C$28,1)+COUNTIF('9_oferty p.'!$C$3:'9_oferty p.'!C16,'9_oferty p.'!C16)-1</f>
        <v>2</v>
      </c>
      <c r="C17" s="8" t="str">
        <f>INDEX('9_oferty p.'!B3:G28,MATCH(14,B4:B29,0),1)</f>
        <v>Tarnobrzeg</v>
      </c>
      <c r="D17" s="10">
        <f>INDEX('9_oferty p.'!B3:G28,MATCH(14,B4:B29,0),2)</f>
        <v>140</v>
      </c>
      <c r="E17" s="9">
        <f>INDEX('9_oferty p.'!B3:G28,MATCH(14,B4:B29,0),3)</f>
        <v>93</v>
      </c>
      <c r="F17" s="10">
        <f>INDEX('9_oferty p.'!B3:G28,MATCH(14,B4:B29,0),4)</f>
        <v>47</v>
      </c>
      <c r="G17" s="9">
        <f>INDEX('9_oferty p.'!B3:G28,MATCH(14,B4:B29,0),5)</f>
        <v>108</v>
      </c>
      <c r="H17" s="10">
        <f>INDEX('9_oferty p.'!B3:G28,MATCH(14,B4:B29,0),6)</f>
        <v>32</v>
      </c>
    </row>
    <row r="18" spans="2:8" x14ac:dyDescent="0.2">
      <c r="B18" s="10">
        <f>RANK('9_oferty p.'!C17,'9_oferty p.'!$C$3:'9_oferty p.'!$C$28,1)+COUNTIF('9_oferty p.'!$C$3:'9_oferty p.'!C17,'9_oferty p.'!C17)-1</f>
        <v>19</v>
      </c>
      <c r="C18" s="8" t="str">
        <f>INDEX('9_oferty p.'!B3:G28,MATCH(15,B4:B29,0),1)</f>
        <v>stalowowolski</v>
      </c>
      <c r="D18" s="10">
        <f>INDEX('9_oferty p.'!B3:G28,MATCH(15,B4:B29,0),2)</f>
        <v>143</v>
      </c>
      <c r="E18" s="9">
        <f>INDEX('9_oferty p.'!B3:G28,MATCH(15,B4:B29,0),3)</f>
        <v>273</v>
      </c>
      <c r="F18" s="10">
        <f>INDEX('9_oferty p.'!B3:G28,MATCH(15,B4:B29,0),4)</f>
        <v>-130</v>
      </c>
      <c r="G18" s="9">
        <f>INDEX('9_oferty p.'!B3:G28,MATCH(15,B4:B29,0),5)</f>
        <v>108</v>
      </c>
      <c r="H18" s="10">
        <f>INDEX('9_oferty p.'!B3:G28,MATCH(15,B4:B29,0),6)</f>
        <v>35</v>
      </c>
    </row>
    <row r="19" spans="2:8" x14ac:dyDescent="0.2">
      <c r="B19" s="10">
        <f>RANK('9_oferty p.'!C18,'9_oferty p.'!$C$3:'9_oferty p.'!$C$28,1)+COUNTIF('9_oferty p.'!$C$3:'9_oferty p.'!C18,'9_oferty p.'!C18)-1</f>
        <v>16</v>
      </c>
      <c r="C19" s="8" t="str">
        <f>INDEX('9_oferty p.'!B3:G28,MATCH(16,B4:B29,0),1)</f>
        <v>ropczycko-sędziszowski</v>
      </c>
      <c r="D19" s="10">
        <f>INDEX('9_oferty p.'!B3:G28,MATCH(16,B4:B29,0),2)</f>
        <v>159</v>
      </c>
      <c r="E19" s="9">
        <f>INDEX('9_oferty p.'!B3:G28,MATCH(16,B4:B29,0),3)</f>
        <v>118</v>
      </c>
      <c r="F19" s="10">
        <f>INDEX('9_oferty p.'!B3:G28,MATCH(16,B4:B29,0),4)</f>
        <v>41</v>
      </c>
      <c r="G19" s="9">
        <f>INDEX('9_oferty p.'!B3:G28,MATCH(16,B4:B29,0),5)</f>
        <v>182</v>
      </c>
      <c r="H19" s="10">
        <f>INDEX('9_oferty p.'!B3:G28,MATCH(16,B4:B29,0),6)</f>
        <v>-23</v>
      </c>
    </row>
    <row r="20" spans="2:8" x14ac:dyDescent="0.2">
      <c r="B20" s="10">
        <f>RANK('9_oferty p.'!C19,'9_oferty p.'!$C$3:'9_oferty p.'!$C$28,1)+COUNTIF('9_oferty p.'!$C$3:'9_oferty p.'!C19,'9_oferty p.'!C19)-1</f>
        <v>21</v>
      </c>
      <c r="C20" s="8" t="str">
        <f>INDEX('9_oferty p.'!B3:G28,MATCH(17,B4:B29,0),1)</f>
        <v>jarosławski</v>
      </c>
      <c r="D20" s="10">
        <f>INDEX('9_oferty p.'!B3:G28,MATCH(17,B4:B29,0),2)</f>
        <v>173</v>
      </c>
      <c r="E20" s="9">
        <f>INDEX('9_oferty p.'!B3:G28,MATCH(17,B4:B29,0),3)</f>
        <v>206</v>
      </c>
      <c r="F20" s="10">
        <f>INDEX('9_oferty p.'!B3:G28,MATCH(17,B4:B29,0),4)</f>
        <v>-33</v>
      </c>
      <c r="G20" s="9">
        <f>INDEX('9_oferty p.'!B3:G28,MATCH(17,B4:B29,0),5)</f>
        <v>182</v>
      </c>
      <c r="H20" s="10">
        <f>INDEX('9_oferty p.'!B3:G28,MATCH(17,B4:B29,0),6)</f>
        <v>-9</v>
      </c>
    </row>
    <row r="21" spans="2:8" x14ac:dyDescent="0.2">
      <c r="B21" s="10">
        <f>RANK('9_oferty p.'!C20,'9_oferty p.'!$C$3:'9_oferty p.'!$C$28,1)+COUNTIF('9_oferty p.'!$C$3:'9_oferty p.'!C20,'9_oferty p.'!C20)-1</f>
        <v>11</v>
      </c>
      <c r="C21" s="8" t="str">
        <f>INDEX('9_oferty p.'!B3:G28,MATCH(18,B4:B29,0),1)</f>
        <v>jasielski</v>
      </c>
      <c r="D21" s="10">
        <f>INDEX('9_oferty p.'!B3:G28,MATCH(18,B4:B29,0),2)</f>
        <v>178</v>
      </c>
      <c r="E21" s="9">
        <f>INDEX('9_oferty p.'!B3:G28,MATCH(18,B4:B29,0),3)</f>
        <v>173</v>
      </c>
      <c r="F21" s="10">
        <f>INDEX('9_oferty p.'!B3:G28,MATCH(18,B4:B29,0),4)</f>
        <v>5</v>
      </c>
      <c r="G21" s="9">
        <f>INDEX('9_oferty p.'!B3:G28,MATCH(18,B4:B29,0),5)</f>
        <v>180</v>
      </c>
      <c r="H21" s="10">
        <f>INDEX('9_oferty p.'!B3:G28,MATCH(18,B4:B29,0),6)</f>
        <v>-2</v>
      </c>
    </row>
    <row r="22" spans="2:8" x14ac:dyDescent="0.2">
      <c r="B22" s="10">
        <f>RANK('9_oferty p.'!C21,'9_oferty p.'!$C$3:'9_oferty p.'!$C$28,1)+COUNTIF('9_oferty p.'!$C$3:'9_oferty p.'!C21,'9_oferty p.'!C21)-1</f>
        <v>15</v>
      </c>
      <c r="C22" s="8" t="str">
        <f>INDEX('9_oferty p.'!B3:G28,MATCH(19,B4:B29,0),1)</f>
        <v>przeworski</v>
      </c>
      <c r="D22" s="10">
        <f>INDEX('9_oferty p.'!B3:G28,MATCH(19,B4:B29,0),2)</f>
        <v>178</v>
      </c>
      <c r="E22" s="9">
        <f>INDEX('9_oferty p.'!B3:G28,MATCH(19,B4:B29,0),3)</f>
        <v>212</v>
      </c>
      <c r="F22" s="10">
        <f>INDEX('9_oferty p.'!B3:G28,MATCH(19,B4:B29,0),4)</f>
        <v>-34</v>
      </c>
      <c r="G22" s="9">
        <f>INDEX('9_oferty p.'!B3:G28,MATCH(19,B4:B29,0),5)</f>
        <v>67</v>
      </c>
      <c r="H22" s="10">
        <f>INDEX('9_oferty p.'!B3:G28,MATCH(19,B4:B29,0),6)</f>
        <v>111</v>
      </c>
    </row>
    <row r="23" spans="2:8" x14ac:dyDescent="0.2">
      <c r="B23" s="10">
        <f>RANK('9_oferty p.'!C22,'9_oferty p.'!$C$3:'9_oferty p.'!$C$28,1)+COUNTIF('9_oferty p.'!$C$3:'9_oferty p.'!C22,'9_oferty p.'!C22)-1</f>
        <v>20</v>
      </c>
      <c r="C23" s="8" t="str">
        <f>INDEX('9_oferty p.'!B3:G28,MATCH(20,B4:B29,0),1)</f>
        <v>strzyżowski</v>
      </c>
      <c r="D23" s="10">
        <f>INDEX('9_oferty p.'!B3:G28,MATCH(20,B4:B29,0),2)</f>
        <v>179</v>
      </c>
      <c r="E23" s="9">
        <f>INDEX('9_oferty p.'!B3:G28,MATCH(20,B4:B29,0),3)</f>
        <v>159</v>
      </c>
      <c r="F23" s="10">
        <f>INDEX('9_oferty p.'!B3:G28,MATCH(20,B4:B29,0),4)</f>
        <v>20</v>
      </c>
      <c r="G23" s="9">
        <f>INDEX('9_oferty p.'!B3:G28,MATCH(20,B4:B29,0),5)</f>
        <v>194</v>
      </c>
      <c r="H23" s="10">
        <f>INDEX('9_oferty p.'!B3:G28,MATCH(20,B4:B29,0),6)</f>
        <v>-15</v>
      </c>
    </row>
    <row r="24" spans="2:8" x14ac:dyDescent="0.2">
      <c r="B24" s="10">
        <f>RANK('9_oferty p.'!C23,'9_oferty p.'!$C$3:'9_oferty p.'!$C$28,1)+COUNTIF('9_oferty p.'!$C$3:'9_oferty p.'!C23,'9_oferty p.'!C23)-1</f>
        <v>22</v>
      </c>
      <c r="C24" s="8" t="str">
        <f>INDEX('9_oferty p.'!B3:G28,MATCH(21,B4:B29,0),1)</f>
        <v>rzeszowski</v>
      </c>
      <c r="D24" s="10">
        <f>INDEX('9_oferty p.'!B3:G28,MATCH(21,B4:B29,0),2)</f>
        <v>183</v>
      </c>
      <c r="E24" s="9">
        <f>INDEX('9_oferty p.'!B3:G28,MATCH(21,B4:B29,0),3)</f>
        <v>161</v>
      </c>
      <c r="F24" s="10">
        <f>INDEX('9_oferty p.'!B3:G28,MATCH(21,B4:B29,0),4)</f>
        <v>22</v>
      </c>
      <c r="G24" s="9">
        <f>INDEX('9_oferty p.'!B3:G28,MATCH(21,B4:B29,0),5)</f>
        <v>235</v>
      </c>
      <c r="H24" s="10">
        <f>INDEX('9_oferty p.'!B3:G28,MATCH(21,B4:B29,0),6)</f>
        <v>-52</v>
      </c>
    </row>
    <row r="25" spans="2:8" x14ac:dyDescent="0.2">
      <c r="B25" s="10">
        <f>RANK('9_oferty p.'!C24,'9_oferty p.'!$C$3:'9_oferty p.'!$C$28,1)+COUNTIF('9_oferty p.'!$C$3:'9_oferty p.'!C24,'9_oferty p.'!C24)-1</f>
        <v>6</v>
      </c>
      <c r="C25" s="8" t="str">
        <f>INDEX('9_oferty p.'!B3:G28,MATCH(22,B4:B29,0),1)</f>
        <v xml:space="preserve">tarnobrzeski </v>
      </c>
      <c r="D25" s="10">
        <f>INDEX('9_oferty p.'!B3:G28,MATCH(22,B4:B29,0),2)</f>
        <v>195</v>
      </c>
      <c r="E25" s="9">
        <f>INDEX('9_oferty p.'!B3:G28,MATCH(22,B4:B29,0),3)</f>
        <v>163</v>
      </c>
      <c r="F25" s="10">
        <f>INDEX('9_oferty p.'!B3:G28,MATCH(22,B4:B29,0),4)</f>
        <v>32</v>
      </c>
      <c r="G25" s="9">
        <f>INDEX('9_oferty p.'!B3:G28,MATCH(22,B4:B29,0),5)</f>
        <v>140</v>
      </c>
      <c r="H25" s="10">
        <f>INDEX('9_oferty p.'!B3:G28,MATCH(22,B4:B29,0),6)</f>
        <v>55</v>
      </c>
    </row>
    <row r="26" spans="2:8" x14ac:dyDescent="0.2">
      <c r="B26" s="10">
        <f>RANK('9_oferty p.'!C25,'9_oferty p.'!$C$3:'9_oferty p.'!$C$28,1)+COUNTIF('9_oferty p.'!$C$3:'9_oferty p.'!C25,'9_oferty p.'!C25)-1</f>
        <v>10</v>
      </c>
      <c r="C26" s="8" t="str">
        <f>INDEX('9_oferty p.'!B3:G28,MATCH(23,B4:B29,0),1)</f>
        <v>dębicki</v>
      </c>
      <c r="D26" s="10">
        <f>INDEX('9_oferty p.'!B3:G28,MATCH(23,B4:B29,0),2)</f>
        <v>360</v>
      </c>
      <c r="E26" s="9">
        <f>INDEX('9_oferty p.'!B3:G28,MATCH(23,B4:B29,0),3)</f>
        <v>381</v>
      </c>
      <c r="F26" s="10">
        <f>INDEX('9_oferty p.'!B3:G28,MATCH(23,B4:B29,0),4)</f>
        <v>-21</v>
      </c>
      <c r="G26" s="9">
        <f>INDEX('9_oferty p.'!B3:G28,MATCH(23,B4:B29,0),5)</f>
        <v>377</v>
      </c>
      <c r="H26" s="10">
        <f>INDEX('9_oferty p.'!B3:G28,MATCH(23,B4:B29,0),6)</f>
        <v>-17</v>
      </c>
    </row>
    <row r="27" spans="2:8" x14ac:dyDescent="0.2">
      <c r="B27" s="10">
        <f>RANK('9_oferty p.'!C26,'9_oferty p.'!$C$3:'9_oferty p.'!$C$28,1)+COUNTIF('9_oferty p.'!$C$3:'9_oferty p.'!C26,'9_oferty p.'!C26)-1</f>
        <v>25</v>
      </c>
      <c r="C27" s="8" t="str">
        <f>INDEX('9_oferty p.'!B3:G28,MATCH(24,B4:B29,0),1)</f>
        <v>mielecki</v>
      </c>
      <c r="D27" s="10">
        <f>INDEX('9_oferty p.'!B3:G28,MATCH(24,B4:B29,0),2)</f>
        <v>419</v>
      </c>
      <c r="E27" s="9">
        <f>INDEX('9_oferty p.'!B3:G28,MATCH(24,B4:B29,0),3)</f>
        <v>370</v>
      </c>
      <c r="F27" s="10">
        <f>INDEX('9_oferty p.'!B3:G28,MATCH(24,B4:B29,0),4)</f>
        <v>49</v>
      </c>
      <c r="G27" s="9">
        <f>INDEX('9_oferty p.'!B3:G28,MATCH(24,B4:B29,0),5)</f>
        <v>574</v>
      </c>
      <c r="H27" s="10">
        <f>INDEX('9_oferty p.'!B3:G28,MATCH(24,B4:B29,0),6)</f>
        <v>-155</v>
      </c>
    </row>
    <row r="28" spans="2:8" x14ac:dyDescent="0.2">
      <c r="B28" s="10">
        <f>RANK('9_oferty p.'!C27,'9_oferty p.'!$C$3:'9_oferty p.'!$C$28,1)+COUNTIF('9_oferty p.'!$C$3:'9_oferty p.'!C27,'9_oferty p.'!C27)-1</f>
        <v>14</v>
      </c>
      <c r="C28" s="8" t="str">
        <f>INDEX('9_oferty p.'!B3:G28,MATCH(25,B4:B29,0),1)</f>
        <v>Rzeszów</v>
      </c>
      <c r="D28" s="10">
        <f>INDEX('9_oferty p.'!B3:G28,MATCH(25,B4:B29,0),2)</f>
        <v>558</v>
      </c>
      <c r="E28" s="9">
        <f>INDEX('9_oferty p.'!B3:G28,MATCH(25,B4:B29,0),3)</f>
        <v>553</v>
      </c>
      <c r="F28" s="10">
        <f>INDEX('9_oferty p.'!B3:G28,MATCH(25,B4:B29,0),4)</f>
        <v>5</v>
      </c>
      <c r="G28" s="9">
        <f>INDEX('9_oferty p.'!B3:G28,MATCH(25,B4:B29,0),5)</f>
        <v>592</v>
      </c>
      <c r="H28" s="10">
        <f>INDEX('9_oferty p.'!B3:G28,MATCH(25,B4:B29,0),6)</f>
        <v>-34</v>
      </c>
    </row>
    <row r="29" spans="2:8" ht="15" x14ac:dyDescent="0.25">
      <c r="B29" s="34">
        <f>RANK('9_oferty p.'!C28,'9_oferty p.'!$C$3:'9_oferty p.'!$C$28,1)+COUNTIF('9_oferty p.'!$C$3:'9_oferty p.'!C28,'9_oferty p.'!C28)-1</f>
        <v>26</v>
      </c>
      <c r="C29" s="35" t="str">
        <f>INDEX('9_oferty p.'!B3:G28,MATCH(26,B4:B29,0),1)</f>
        <v>województwo</v>
      </c>
      <c r="D29" s="34">
        <f>INDEX('9_oferty p.'!B3:G28,MATCH(26,B4:B29,0),2)</f>
        <v>3786</v>
      </c>
      <c r="E29" s="17">
        <f>INDEX('9_oferty p.'!B3:G28,MATCH(26,B4:B29,0),3)</f>
        <v>3968</v>
      </c>
      <c r="F29" s="34">
        <f>INDEX('9_oferty p.'!B3:G28,MATCH(26,B4:B29,0),4)</f>
        <v>-182</v>
      </c>
      <c r="G29" s="17">
        <f>INDEX('9_oferty p.'!B3:G28,MATCH(26,B4:B29,0),5)</f>
        <v>4097</v>
      </c>
      <c r="H29" s="34">
        <f>INDEX('9_oferty p.'!B3:G28,MATCH(26,B4:B29,0),6)</f>
        <v>-311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K32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78" t="s">
        <v>93</v>
      </c>
      <c r="C1" s="76"/>
      <c r="D1" s="76"/>
      <c r="E1" s="76"/>
      <c r="F1" s="76"/>
      <c r="G1" s="76"/>
      <c r="H1" s="77"/>
      <c r="I1" s="77"/>
      <c r="J1" s="77"/>
      <c r="K1" s="77"/>
    </row>
    <row r="2" spans="2:11" ht="14.25" customHeight="1" x14ac:dyDescent="0.2">
      <c r="B2" s="1" t="s">
        <v>94</v>
      </c>
      <c r="C2" s="70"/>
      <c r="D2" s="70"/>
      <c r="E2" s="70"/>
      <c r="F2" s="70"/>
      <c r="G2" s="70"/>
      <c r="H2" s="77"/>
      <c r="I2" s="77"/>
      <c r="J2" s="77"/>
      <c r="K2" s="77"/>
    </row>
    <row r="3" spans="2:11" ht="57" x14ac:dyDescent="0.2">
      <c r="B3" s="5" t="s">
        <v>27</v>
      </c>
      <c r="C3" s="6" t="s">
        <v>125</v>
      </c>
      <c r="D3" s="7" t="s">
        <v>107</v>
      </c>
      <c r="E3" s="6" t="s">
        <v>28</v>
      </c>
      <c r="F3" s="7" t="s">
        <v>126</v>
      </c>
      <c r="G3" s="6" t="s">
        <v>26</v>
      </c>
    </row>
    <row r="4" spans="2:11" x14ac:dyDescent="0.2">
      <c r="B4" s="8" t="s">
        <v>0</v>
      </c>
      <c r="C4" s="73">
        <v>16</v>
      </c>
      <c r="D4" s="9">
        <v>20</v>
      </c>
      <c r="E4" s="73">
        <f t="shared" ref="E4:E28" si="0">SUM(C4)-D4</f>
        <v>-4</v>
      </c>
      <c r="F4" s="9">
        <v>11</v>
      </c>
      <c r="G4" s="73">
        <f t="shared" ref="G4:G28" si="1">SUM(C4)-F4</f>
        <v>5</v>
      </c>
      <c r="H4" s="11"/>
    </row>
    <row r="5" spans="2:11" x14ac:dyDescent="0.2">
      <c r="B5" s="8" t="s">
        <v>1</v>
      </c>
      <c r="C5" s="73">
        <v>61</v>
      </c>
      <c r="D5" s="9">
        <v>72</v>
      </c>
      <c r="E5" s="73">
        <f t="shared" si="0"/>
        <v>-11</v>
      </c>
      <c r="F5" s="9">
        <v>83</v>
      </c>
      <c r="G5" s="73">
        <f t="shared" si="1"/>
        <v>-22</v>
      </c>
      <c r="H5" s="11"/>
    </row>
    <row r="6" spans="2:11" x14ac:dyDescent="0.2">
      <c r="B6" s="8" t="s">
        <v>2</v>
      </c>
      <c r="C6" s="73">
        <v>69</v>
      </c>
      <c r="D6" s="9">
        <v>51</v>
      </c>
      <c r="E6" s="73">
        <f t="shared" si="0"/>
        <v>18</v>
      </c>
      <c r="F6" s="9">
        <v>43</v>
      </c>
      <c r="G6" s="73">
        <f t="shared" si="1"/>
        <v>26</v>
      </c>
      <c r="H6" s="11"/>
    </row>
    <row r="7" spans="2:11" x14ac:dyDescent="0.2">
      <c r="B7" s="8" t="s">
        <v>3</v>
      </c>
      <c r="C7" s="73">
        <v>101</v>
      </c>
      <c r="D7" s="9">
        <v>136</v>
      </c>
      <c r="E7" s="73">
        <f t="shared" si="0"/>
        <v>-35</v>
      </c>
      <c r="F7" s="9">
        <v>101</v>
      </c>
      <c r="G7" s="73">
        <f t="shared" si="1"/>
        <v>0</v>
      </c>
      <c r="H7" s="11"/>
    </row>
    <row r="8" spans="2:11" x14ac:dyDescent="0.2">
      <c r="B8" s="8" t="s">
        <v>4</v>
      </c>
      <c r="C8" s="73">
        <v>90</v>
      </c>
      <c r="D8" s="9">
        <v>112</v>
      </c>
      <c r="E8" s="73">
        <f t="shared" si="0"/>
        <v>-22</v>
      </c>
      <c r="F8" s="9">
        <v>64</v>
      </c>
      <c r="G8" s="73">
        <f t="shared" si="1"/>
        <v>26</v>
      </c>
      <c r="H8" s="11"/>
    </row>
    <row r="9" spans="2:11" x14ac:dyDescent="0.2">
      <c r="B9" s="8" t="s">
        <v>5</v>
      </c>
      <c r="C9" s="73">
        <v>64</v>
      </c>
      <c r="D9" s="9">
        <v>45</v>
      </c>
      <c r="E9" s="73">
        <f t="shared" si="0"/>
        <v>19</v>
      </c>
      <c r="F9" s="9">
        <v>39</v>
      </c>
      <c r="G9" s="73">
        <f t="shared" si="1"/>
        <v>25</v>
      </c>
      <c r="H9" s="11"/>
    </row>
    <row r="10" spans="2:11" x14ac:dyDescent="0.2">
      <c r="B10" s="13" t="s">
        <v>6</v>
      </c>
      <c r="C10" s="73">
        <v>29</v>
      </c>
      <c r="D10" s="9">
        <v>35</v>
      </c>
      <c r="E10" s="73">
        <f t="shared" si="0"/>
        <v>-6</v>
      </c>
      <c r="F10" s="9">
        <v>28</v>
      </c>
      <c r="G10" s="73">
        <f t="shared" si="1"/>
        <v>1</v>
      </c>
      <c r="H10" s="11"/>
    </row>
    <row r="11" spans="2:11" x14ac:dyDescent="0.2">
      <c r="B11" s="8" t="s">
        <v>7</v>
      </c>
      <c r="C11" s="73">
        <v>8</v>
      </c>
      <c r="D11" s="9">
        <v>23</v>
      </c>
      <c r="E11" s="73">
        <f t="shared" si="0"/>
        <v>-15</v>
      </c>
      <c r="F11" s="9">
        <v>22</v>
      </c>
      <c r="G11" s="73">
        <f t="shared" si="1"/>
        <v>-14</v>
      </c>
      <c r="H11" s="11"/>
    </row>
    <row r="12" spans="2:11" x14ac:dyDescent="0.2">
      <c r="B12" s="8" t="s">
        <v>8</v>
      </c>
      <c r="C12" s="73">
        <v>44</v>
      </c>
      <c r="D12" s="9">
        <v>46</v>
      </c>
      <c r="E12" s="73">
        <f t="shared" si="0"/>
        <v>-2</v>
      </c>
      <c r="F12" s="9">
        <v>10</v>
      </c>
      <c r="G12" s="73">
        <f t="shared" si="1"/>
        <v>34</v>
      </c>
      <c r="H12" s="11"/>
    </row>
    <row r="13" spans="2:11" x14ac:dyDescent="0.2">
      <c r="B13" s="8" t="s">
        <v>9</v>
      </c>
      <c r="C13" s="73">
        <v>35</v>
      </c>
      <c r="D13" s="9">
        <v>70</v>
      </c>
      <c r="E13" s="73">
        <f t="shared" si="0"/>
        <v>-35</v>
      </c>
      <c r="F13" s="9">
        <v>48</v>
      </c>
      <c r="G13" s="73">
        <f t="shared" si="1"/>
        <v>-13</v>
      </c>
      <c r="H13" s="11"/>
    </row>
    <row r="14" spans="2:11" x14ac:dyDescent="0.2">
      <c r="B14" s="8" t="s">
        <v>10</v>
      </c>
      <c r="C14" s="73">
        <v>52</v>
      </c>
      <c r="D14" s="9">
        <v>60</v>
      </c>
      <c r="E14" s="73">
        <f t="shared" si="0"/>
        <v>-8</v>
      </c>
      <c r="F14" s="9">
        <v>66</v>
      </c>
      <c r="G14" s="73">
        <f t="shared" si="1"/>
        <v>-14</v>
      </c>
      <c r="H14" s="11"/>
    </row>
    <row r="15" spans="2:11" x14ac:dyDescent="0.2">
      <c r="B15" s="8" t="s">
        <v>11</v>
      </c>
      <c r="C15" s="73">
        <v>101</v>
      </c>
      <c r="D15" s="9">
        <v>144</v>
      </c>
      <c r="E15" s="73">
        <f t="shared" si="0"/>
        <v>-43</v>
      </c>
      <c r="F15" s="9">
        <v>54</v>
      </c>
      <c r="G15" s="73">
        <f t="shared" si="1"/>
        <v>47</v>
      </c>
      <c r="H15" s="11"/>
    </row>
    <row r="16" spans="2:11" x14ac:dyDescent="0.2">
      <c r="B16" s="8" t="s">
        <v>12</v>
      </c>
      <c r="C16" s="73">
        <v>64</v>
      </c>
      <c r="D16" s="9">
        <v>95</v>
      </c>
      <c r="E16" s="73">
        <f t="shared" si="0"/>
        <v>-31</v>
      </c>
      <c r="F16" s="9">
        <v>57</v>
      </c>
      <c r="G16" s="73">
        <f t="shared" si="1"/>
        <v>7</v>
      </c>
      <c r="H16" s="11"/>
    </row>
    <row r="17" spans="2:8" x14ac:dyDescent="0.2">
      <c r="B17" s="8" t="s">
        <v>13</v>
      </c>
      <c r="C17" s="73">
        <v>26</v>
      </c>
      <c r="D17" s="9">
        <v>15</v>
      </c>
      <c r="E17" s="73">
        <f t="shared" si="0"/>
        <v>11</v>
      </c>
      <c r="F17" s="9">
        <v>41</v>
      </c>
      <c r="G17" s="73">
        <f t="shared" si="1"/>
        <v>-15</v>
      </c>
      <c r="H17" s="11"/>
    </row>
    <row r="18" spans="2:8" x14ac:dyDescent="0.2">
      <c r="B18" s="8" t="s">
        <v>14</v>
      </c>
      <c r="C18" s="73">
        <v>94</v>
      </c>
      <c r="D18" s="9">
        <v>107</v>
      </c>
      <c r="E18" s="73">
        <f t="shared" si="0"/>
        <v>-13</v>
      </c>
      <c r="F18" s="9">
        <v>24</v>
      </c>
      <c r="G18" s="73">
        <f t="shared" si="1"/>
        <v>70</v>
      </c>
      <c r="H18" s="11"/>
    </row>
    <row r="19" spans="2:8" x14ac:dyDescent="0.2">
      <c r="B19" s="8" t="s">
        <v>15</v>
      </c>
      <c r="C19" s="73">
        <v>54</v>
      </c>
      <c r="D19" s="9">
        <v>70</v>
      </c>
      <c r="E19" s="73">
        <f t="shared" si="0"/>
        <v>-16</v>
      </c>
      <c r="F19" s="9">
        <v>73</v>
      </c>
      <c r="G19" s="73">
        <f t="shared" si="1"/>
        <v>-19</v>
      </c>
      <c r="H19" s="11"/>
    </row>
    <row r="20" spans="2:8" x14ac:dyDescent="0.2">
      <c r="B20" s="8" t="s">
        <v>16</v>
      </c>
      <c r="C20" s="73">
        <v>49</v>
      </c>
      <c r="D20" s="9">
        <v>60</v>
      </c>
      <c r="E20" s="73">
        <f t="shared" si="0"/>
        <v>-11</v>
      </c>
      <c r="F20" s="9">
        <v>64</v>
      </c>
      <c r="G20" s="73">
        <f t="shared" si="1"/>
        <v>-15</v>
      </c>
      <c r="H20" s="11"/>
    </row>
    <row r="21" spans="2:8" x14ac:dyDescent="0.2">
      <c r="B21" s="8" t="s">
        <v>17</v>
      </c>
      <c r="C21" s="73">
        <v>57</v>
      </c>
      <c r="D21" s="9">
        <v>67</v>
      </c>
      <c r="E21" s="73">
        <f t="shared" si="0"/>
        <v>-10</v>
      </c>
      <c r="F21" s="9">
        <v>65</v>
      </c>
      <c r="G21" s="73">
        <f t="shared" si="1"/>
        <v>-8</v>
      </c>
      <c r="H21" s="11"/>
    </row>
    <row r="22" spans="2:8" x14ac:dyDescent="0.2">
      <c r="B22" s="8" t="s">
        <v>18</v>
      </c>
      <c r="C22" s="73">
        <v>70</v>
      </c>
      <c r="D22" s="9">
        <v>74</v>
      </c>
      <c r="E22" s="73">
        <f t="shared" si="0"/>
        <v>-4</v>
      </c>
      <c r="F22" s="9">
        <v>29</v>
      </c>
      <c r="G22" s="73">
        <f t="shared" si="1"/>
        <v>41</v>
      </c>
      <c r="H22" s="11"/>
    </row>
    <row r="23" spans="2:8" x14ac:dyDescent="0.2">
      <c r="B23" s="8" t="s">
        <v>19</v>
      </c>
      <c r="C23" s="73">
        <v>80</v>
      </c>
      <c r="D23" s="9">
        <v>104</v>
      </c>
      <c r="E23" s="73">
        <f t="shared" si="0"/>
        <v>-24</v>
      </c>
      <c r="F23" s="9">
        <v>91</v>
      </c>
      <c r="G23" s="73">
        <f t="shared" si="1"/>
        <v>-11</v>
      </c>
      <c r="H23" s="11"/>
    </row>
    <row r="24" spans="2:8" x14ac:dyDescent="0.2">
      <c r="B24" s="8" t="s">
        <v>20</v>
      </c>
      <c r="C24" s="73">
        <v>42</v>
      </c>
      <c r="D24" s="9">
        <v>51</v>
      </c>
      <c r="E24" s="73">
        <f t="shared" si="0"/>
        <v>-9</v>
      </c>
      <c r="F24" s="9">
        <v>26</v>
      </c>
      <c r="G24" s="73">
        <f t="shared" si="1"/>
        <v>16</v>
      </c>
      <c r="H24" s="11"/>
    </row>
    <row r="25" spans="2:8" x14ac:dyDescent="0.2">
      <c r="B25" s="8" t="s">
        <v>21</v>
      </c>
      <c r="C25" s="73">
        <v>27</v>
      </c>
      <c r="D25" s="9">
        <v>31</v>
      </c>
      <c r="E25" s="73">
        <f t="shared" si="0"/>
        <v>-4</v>
      </c>
      <c r="F25" s="9">
        <v>32</v>
      </c>
      <c r="G25" s="73">
        <f t="shared" si="1"/>
        <v>-5</v>
      </c>
      <c r="H25" s="11"/>
    </row>
    <row r="26" spans="2:8" x14ac:dyDescent="0.2">
      <c r="B26" s="8" t="s">
        <v>22</v>
      </c>
      <c r="C26" s="73">
        <v>48</v>
      </c>
      <c r="D26" s="9">
        <v>51</v>
      </c>
      <c r="E26" s="73">
        <f t="shared" si="0"/>
        <v>-3</v>
      </c>
      <c r="F26" s="9">
        <v>47</v>
      </c>
      <c r="G26" s="73">
        <f t="shared" si="1"/>
        <v>1</v>
      </c>
      <c r="H26" s="11"/>
    </row>
    <row r="27" spans="2:8" x14ac:dyDescent="0.2">
      <c r="B27" s="8" t="s">
        <v>23</v>
      </c>
      <c r="C27" s="73">
        <v>94</v>
      </c>
      <c r="D27" s="9">
        <v>119</v>
      </c>
      <c r="E27" s="73">
        <f t="shared" si="0"/>
        <v>-25</v>
      </c>
      <c r="F27" s="9">
        <v>112</v>
      </c>
      <c r="G27" s="73">
        <f t="shared" si="1"/>
        <v>-18</v>
      </c>
      <c r="H27" s="11"/>
    </row>
    <row r="28" spans="2:8" x14ac:dyDescent="0.2">
      <c r="B28" s="8" t="s">
        <v>24</v>
      </c>
      <c r="C28" s="73">
        <v>54</v>
      </c>
      <c r="D28" s="9">
        <v>40</v>
      </c>
      <c r="E28" s="73">
        <f t="shared" si="0"/>
        <v>14</v>
      </c>
      <c r="F28" s="9">
        <v>18</v>
      </c>
      <c r="G28" s="73">
        <f t="shared" si="1"/>
        <v>36</v>
      </c>
      <c r="H28" s="11"/>
    </row>
    <row r="29" spans="2:8" ht="15" x14ac:dyDescent="0.25">
      <c r="B29" s="15" t="s">
        <v>25</v>
      </c>
      <c r="C29" s="74">
        <f>SUM(C4:C28)</f>
        <v>1429</v>
      </c>
      <c r="D29" s="17">
        <f>SUM(D4:D28)</f>
        <v>1698</v>
      </c>
      <c r="E29" s="74">
        <f>SUM(E4:E28)</f>
        <v>-269</v>
      </c>
      <c r="F29" s="17">
        <f>SUM(F4:F28)</f>
        <v>1248</v>
      </c>
      <c r="G29" s="74">
        <f>SUM(G4:G28)</f>
        <v>181</v>
      </c>
      <c r="H29" s="11"/>
    </row>
    <row r="30" spans="2:8" ht="12" customHeight="1" x14ac:dyDescent="0.2">
      <c r="B30" s="4"/>
      <c r="C30" s="30"/>
      <c r="E30" s="11"/>
      <c r="G30" s="11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30"/>
  <sheetViews>
    <sheetView zoomScaleNormal="10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3.7109375" style="3" customWidth="1"/>
    <col min="4" max="5" width="14.42578125" style="3" customWidth="1"/>
    <col min="6" max="6" width="14.85546875" style="3" customWidth="1"/>
    <col min="7" max="7" width="14.7109375" style="3" customWidth="1"/>
    <col min="8" max="8" width="17" style="3" customWidth="1"/>
    <col min="9" max="9" width="2.5703125" style="3" customWidth="1"/>
    <col min="10" max="19" width="9.140625" style="3"/>
    <col min="20" max="20" width="2.7109375" style="3" customWidth="1"/>
    <col min="21" max="16384" width="9.140625" style="3"/>
  </cols>
  <sheetData>
    <row r="1" spans="2:8" x14ac:dyDescent="0.2">
      <c r="B1" s="2" t="s">
        <v>32</v>
      </c>
    </row>
    <row r="2" spans="2:8" ht="15" x14ac:dyDescent="0.2">
      <c r="C2" s="31"/>
      <c r="D2" s="32"/>
    </row>
    <row r="3" spans="2:8" ht="69" customHeight="1" x14ac:dyDescent="0.2">
      <c r="B3" s="33" t="s">
        <v>88</v>
      </c>
      <c r="C3" s="5" t="str">
        <f>T('1_bezr.'!B2)</f>
        <v>powiaty</v>
      </c>
      <c r="D3" s="6" t="str">
        <f>T('1_bezr.'!C2)</f>
        <v>liczba bezrobotnych ogółem stan na 31 VII '22 r.</v>
      </c>
      <c r="E3" s="7" t="str">
        <f>T('1_bezr.'!D2)</f>
        <v>liczba bezrobotnych ogółem stan na 30 VI '22 r.</v>
      </c>
      <c r="F3" s="6" t="str">
        <f>T('1_bezr.'!E2)</f>
        <v>wzrost/spadek do miesiąca poprzedniego</v>
      </c>
      <c r="G3" s="7" t="str">
        <f>T('1_bezr.'!F2)</f>
        <v>liczba bezrobotnych ogółem stan na 31 VII '21 r.</v>
      </c>
      <c r="H3" s="6" t="str">
        <f>T('1_bezr.'!G2)</f>
        <v>wzrost/spadek do analogicznego okresu ubr.</v>
      </c>
    </row>
    <row r="4" spans="2:8" x14ac:dyDescent="0.2">
      <c r="B4" s="10">
        <f>RANK('1_bezr.'!C3,'1_bezr.'!$C$3:'1_bezr.'!$C$28,1)+COUNTIF('1_bezr.'!$C$3:'1_bezr.'!C3,'1_bezr.'!C3)-1</f>
        <v>2</v>
      </c>
      <c r="C4" s="8" t="str">
        <f>INDEX('1_bezr.'!B3:G28,MATCH(1,B4:B29,0),1)</f>
        <v>Krosno</v>
      </c>
      <c r="D4" s="39">
        <f>INDEX('1_bezr.'!B3:G28,MATCH(1,B4:B29,0),2)</f>
        <v>741</v>
      </c>
      <c r="E4" s="9">
        <f>INDEX('1_bezr.'!B3:G28,MATCH(1,B4:B29,0),3)</f>
        <v>734</v>
      </c>
      <c r="F4" s="10">
        <f>INDEX('1_bezr.'!B3:G28,MATCH(1,B4:B29,0),4)</f>
        <v>7</v>
      </c>
      <c r="G4" s="9">
        <f>INDEX('1_bezr.'!B3:G28,MATCH(1,B4:B29,0),5)</f>
        <v>835</v>
      </c>
      <c r="H4" s="10">
        <f>INDEX('1_bezr.'!B3:G28,MATCH(1,B4:B29,0),6)</f>
        <v>-94</v>
      </c>
    </row>
    <row r="5" spans="2:8" x14ac:dyDescent="0.2">
      <c r="B5" s="10">
        <f>RANK('1_bezr.'!C4,'1_bezr.'!$C$3:'1_bezr.'!$C$28,1)+COUNTIF('1_bezr.'!$C$3:'1_bezr.'!C4,'1_bezr.'!C4)-1</f>
        <v>21</v>
      </c>
      <c r="C5" s="8" t="str">
        <f>INDEX('1_bezr.'!B3:G28,MATCH(2,B4:B29,0),1)</f>
        <v>bieszczadzki</v>
      </c>
      <c r="D5" s="10">
        <f>INDEX('1_bezr.'!B3:G28,MATCH(2,B4:B29,0),2)</f>
        <v>1019</v>
      </c>
      <c r="E5" s="9">
        <f>INDEX('1_bezr.'!B3:G28,MATCH(2,B4:B29,0),3)</f>
        <v>1033</v>
      </c>
      <c r="F5" s="10">
        <f>INDEX('1_bezr.'!B3:G28,MATCH(2,B4:B29,0),4)</f>
        <v>-14</v>
      </c>
      <c r="G5" s="9">
        <f>INDEX('1_bezr.'!B3:G28,MATCH(2,B4:B29,0),5)</f>
        <v>1143</v>
      </c>
      <c r="H5" s="10">
        <f>INDEX('1_bezr.'!B3:G28,MATCH(2,B4:B29,0),6)</f>
        <v>-124</v>
      </c>
    </row>
    <row r="6" spans="2:8" x14ac:dyDescent="0.2">
      <c r="B6" s="10">
        <f>RANK('1_bezr.'!C5,'1_bezr.'!$C$3:'1_bezr.'!$C$28,1)+COUNTIF('1_bezr.'!$C$3:'1_bezr.'!C5,'1_bezr.'!C5)-1</f>
        <v>11</v>
      </c>
      <c r="C6" s="8" t="str">
        <f>INDEX('1_bezr.'!B3:G28,MATCH(3,B4:B29,0),1)</f>
        <v>Tarnobrzeg</v>
      </c>
      <c r="D6" s="10">
        <f>INDEX('1_bezr.'!B3:G28,MATCH(3,B4:B29,0),2)</f>
        <v>1151</v>
      </c>
      <c r="E6" s="9">
        <f>INDEX('1_bezr.'!B3:G28,MATCH(3,B4:B29,0),3)</f>
        <v>1193</v>
      </c>
      <c r="F6" s="10">
        <f>INDEX('1_bezr.'!B3:G28,MATCH(3,B4:B29,0),4)</f>
        <v>-42</v>
      </c>
      <c r="G6" s="9">
        <f>INDEX('1_bezr.'!B3:G28,MATCH(3,B4:B29,0),5)</f>
        <v>1493</v>
      </c>
      <c r="H6" s="10">
        <f>INDEX('1_bezr.'!B3:G28,MATCH(3,B4:B29,0),6)</f>
        <v>-342</v>
      </c>
    </row>
    <row r="7" spans="2:8" x14ac:dyDescent="0.2">
      <c r="B7" s="10">
        <f>RANK('1_bezr.'!C6,'1_bezr.'!$C$3:'1_bezr.'!$C$28,1)+COUNTIF('1_bezr.'!$C$3:'1_bezr.'!C6,'1_bezr.'!C6)-1</f>
        <v>22</v>
      </c>
      <c r="C7" s="8" t="str">
        <f>INDEX('1_bezr.'!B3:G28,MATCH(4,B4:B29,0),1)</f>
        <v xml:space="preserve">tarnobrzeski </v>
      </c>
      <c r="D7" s="10">
        <f>INDEX('1_bezr.'!B3:G28,MATCH(4,B4:B29,0),2)</f>
        <v>1311</v>
      </c>
      <c r="E7" s="9">
        <f>INDEX('1_bezr.'!B3:G28,MATCH(4,B4:B29,0),3)</f>
        <v>1407</v>
      </c>
      <c r="F7" s="10">
        <f>INDEX('1_bezr.'!B3:G28,MATCH(4,B4:B29,0),4)</f>
        <v>-96</v>
      </c>
      <c r="G7" s="9">
        <f>INDEX('1_bezr.'!B3:G28,MATCH(4,B4:B29,0),5)</f>
        <v>1639</v>
      </c>
      <c r="H7" s="10">
        <f>INDEX('1_bezr.'!B3:G28,MATCH(4,B4:B29,0),6)</f>
        <v>-328</v>
      </c>
    </row>
    <row r="8" spans="2:8" x14ac:dyDescent="0.2">
      <c r="B8" s="10">
        <f>RANK('1_bezr.'!C7,'1_bezr.'!$C$3:'1_bezr.'!$C$28,1)+COUNTIF('1_bezr.'!$C$3:'1_bezr.'!C7,'1_bezr.'!C7)-1</f>
        <v>23</v>
      </c>
      <c r="C8" s="8" t="str">
        <f>INDEX('1_bezr.'!B3:G28,MATCH(5,B4:B29,0),1)</f>
        <v>leski</v>
      </c>
      <c r="D8" s="10">
        <f>INDEX('1_bezr.'!B3:G28,MATCH(5,B4:B29,0),2)</f>
        <v>1559</v>
      </c>
      <c r="E8" s="9">
        <f>INDEX('1_bezr.'!B3:G28,MATCH(5,B4:B29,0),3)</f>
        <v>1560</v>
      </c>
      <c r="F8" s="10">
        <f>INDEX('1_bezr.'!B3:G28,MATCH(5,B4:B29,0),4)</f>
        <v>-1</v>
      </c>
      <c r="G8" s="9">
        <f>INDEX('1_bezr.'!B3:G28,MATCH(5,B4:B29,0),5)</f>
        <v>1575</v>
      </c>
      <c r="H8" s="10">
        <f>INDEX('1_bezr.'!B3:G28,MATCH(5,B4:B29,0),6)</f>
        <v>-16</v>
      </c>
    </row>
    <row r="9" spans="2:8" x14ac:dyDescent="0.2">
      <c r="B9" s="10">
        <f>RANK('1_bezr.'!C8,'1_bezr.'!$C$3:'1_bezr.'!$C$28,1)+COUNTIF('1_bezr.'!$C$3:'1_bezr.'!C8,'1_bezr.'!C8)-1</f>
        <v>7</v>
      </c>
      <c r="C9" s="8" t="str">
        <f>INDEX('1_bezr.'!B3:G28,MATCH(6,B4:B29,0),1)</f>
        <v>lubaczowski</v>
      </c>
      <c r="D9" s="10">
        <f>INDEX('1_bezr.'!B3:G28,MATCH(6,B4:B29,0),2)</f>
        <v>1613</v>
      </c>
      <c r="E9" s="9">
        <f>INDEX('1_bezr.'!B3:G28,MATCH(6,B4:B29,0),3)</f>
        <v>1669</v>
      </c>
      <c r="F9" s="10">
        <f>INDEX('1_bezr.'!B3:G28,MATCH(6,B4:B29,0),4)</f>
        <v>-56</v>
      </c>
      <c r="G9" s="9">
        <f>INDEX('1_bezr.'!B3:G28,MATCH(6,B4:B29,0),5)</f>
        <v>1957</v>
      </c>
      <c r="H9" s="10">
        <f>INDEX('1_bezr.'!B3:G28,MATCH(6,B4:B29,0),6)</f>
        <v>-344</v>
      </c>
    </row>
    <row r="10" spans="2:8" x14ac:dyDescent="0.2">
      <c r="B10" s="10">
        <f>RANK('1_bezr.'!C9,'1_bezr.'!$C$3:'1_bezr.'!$C$28,1)+COUNTIF('1_bezr.'!$C$3:'1_bezr.'!C9,'1_bezr.'!C9)-1</f>
        <v>8</v>
      </c>
      <c r="C10" s="13" t="str">
        <f>INDEX('1_bezr.'!B3:G28,MATCH(7,B4:B29,0),1)</f>
        <v>kolbuszowski</v>
      </c>
      <c r="D10" s="10">
        <f>INDEX('1_bezr.'!B3:G28,MATCH(7,B4:B29,0),2)</f>
        <v>1636</v>
      </c>
      <c r="E10" s="9">
        <f>INDEX('1_bezr.'!B3:G28,MATCH(7,B4:B29,0),3)</f>
        <v>1621</v>
      </c>
      <c r="F10" s="10">
        <f>INDEX('1_bezr.'!B3:G28,MATCH(7,B4:B29,0),4)</f>
        <v>15</v>
      </c>
      <c r="G10" s="9">
        <f>INDEX('1_bezr.'!B3:G28,MATCH(7,B4:B29,0),5)</f>
        <v>1816</v>
      </c>
      <c r="H10" s="10">
        <f>INDEX('1_bezr.'!B3:G28,MATCH(7,B4:B29,0),6)</f>
        <v>-180</v>
      </c>
    </row>
    <row r="11" spans="2:8" x14ac:dyDescent="0.2">
      <c r="B11" s="10">
        <f>RANK('1_bezr.'!C10,'1_bezr.'!$C$3:'1_bezr.'!$C$28,1)+COUNTIF('1_bezr.'!$C$3:'1_bezr.'!C10,'1_bezr.'!C10)-1</f>
        <v>5</v>
      </c>
      <c r="C11" s="8" t="str">
        <f>INDEX('1_bezr.'!B3:G28,MATCH(8,B4:B29,0),1)</f>
        <v>krośnieński</v>
      </c>
      <c r="D11" s="10">
        <f>INDEX('1_bezr.'!B3:G28,MATCH(8,B4:B29,0),2)</f>
        <v>1859</v>
      </c>
      <c r="E11" s="9">
        <f>INDEX('1_bezr.'!B3:G28,MATCH(8,B4:B29,0),3)</f>
        <v>1824</v>
      </c>
      <c r="F11" s="10">
        <f>INDEX('1_bezr.'!B3:G28,MATCH(8,B4:B29,0),4)</f>
        <v>35</v>
      </c>
      <c r="G11" s="9">
        <f>INDEX('1_bezr.'!B3:G28,MATCH(8,B4:B29,0),5)</f>
        <v>2219</v>
      </c>
      <c r="H11" s="10">
        <f>INDEX('1_bezr.'!B3:G28,MATCH(8,B4:B29,0),6)</f>
        <v>-360</v>
      </c>
    </row>
    <row r="12" spans="2:8" x14ac:dyDescent="0.2">
      <c r="B12" s="10">
        <f>RANK('1_bezr.'!C11,'1_bezr.'!$C$3:'1_bezr.'!$C$28,1)+COUNTIF('1_bezr.'!$C$3:'1_bezr.'!C11,'1_bezr.'!C11)-1</f>
        <v>18</v>
      </c>
      <c r="C12" s="8" t="str">
        <f>INDEX('1_bezr.'!B3:G28,MATCH(9,B4:B29,0),1)</f>
        <v>stalowowolski</v>
      </c>
      <c r="D12" s="10">
        <f>INDEX('1_bezr.'!B3:G28,MATCH(9,B4:B29,0),2)</f>
        <v>2003</v>
      </c>
      <c r="E12" s="9">
        <f>INDEX('1_bezr.'!B3:G28,MATCH(9,B4:B29,0),3)</f>
        <v>1948</v>
      </c>
      <c r="F12" s="10">
        <f>INDEX('1_bezr.'!B3:G28,MATCH(9,B4:B29,0),4)</f>
        <v>55</v>
      </c>
      <c r="G12" s="9">
        <f>INDEX('1_bezr.'!B3:G28,MATCH(9,B4:B29,0),5)</f>
        <v>2371</v>
      </c>
      <c r="H12" s="10">
        <f>INDEX('1_bezr.'!B3:G28,MATCH(9,B4:B29,0),6)</f>
        <v>-368</v>
      </c>
    </row>
    <row r="13" spans="2:8" x14ac:dyDescent="0.2">
      <c r="B13" s="10">
        <f>RANK('1_bezr.'!C12,'1_bezr.'!$C$3:'1_bezr.'!$C$28,1)+COUNTIF('1_bezr.'!$C$3:'1_bezr.'!C12,'1_bezr.'!C12)-1</f>
        <v>6</v>
      </c>
      <c r="C13" s="8" t="str">
        <f>INDEX('1_bezr.'!B3:G28,MATCH(10,B4:B29,0),1)</f>
        <v>sanocki</v>
      </c>
      <c r="D13" s="10">
        <f>INDEX('1_bezr.'!B3:G28,MATCH(10,B4:B29,0),2)</f>
        <v>2415</v>
      </c>
      <c r="E13" s="9">
        <f>INDEX('1_bezr.'!B3:G28,MATCH(10,B4:B29,0),3)</f>
        <v>2379</v>
      </c>
      <c r="F13" s="10">
        <f>INDEX('1_bezr.'!B3:G28,MATCH(10,B4:B29,0),4)</f>
        <v>36</v>
      </c>
      <c r="G13" s="9">
        <f>INDEX('1_bezr.'!B3:G28,MATCH(10,B4:B29,0),5)</f>
        <v>2625</v>
      </c>
      <c r="H13" s="10">
        <f>INDEX('1_bezr.'!B3:G28,MATCH(10,B4:B29,0),6)</f>
        <v>-210</v>
      </c>
    </row>
    <row r="14" spans="2:8" x14ac:dyDescent="0.2">
      <c r="B14" s="10">
        <f>RANK('1_bezr.'!C13,'1_bezr.'!$C$3:'1_bezr.'!$C$28,1)+COUNTIF('1_bezr.'!$C$3:'1_bezr.'!C13,'1_bezr.'!C13)-1</f>
        <v>14</v>
      </c>
      <c r="C14" s="8" t="str">
        <f>INDEX('1_bezr.'!B3:G28,MATCH(11,B4:B29,0),1)</f>
        <v>dębicki</v>
      </c>
      <c r="D14" s="10">
        <f>INDEX('1_bezr.'!B3:G28,MATCH(11,B4:B29,0),2)</f>
        <v>2426</v>
      </c>
      <c r="E14" s="9">
        <f>INDEX('1_bezr.'!B3:G28,MATCH(11,B4:B29,0),3)</f>
        <v>2394</v>
      </c>
      <c r="F14" s="10">
        <f>INDEX('1_bezr.'!B3:G28,MATCH(11,B4:B29,0),4)</f>
        <v>32</v>
      </c>
      <c r="G14" s="9">
        <f>INDEX('1_bezr.'!B3:G28,MATCH(11,B4:B29,0),5)</f>
        <v>2977</v>
      </c>
      <c r="H14" s="10">
        <f>INDEX('1_bezr.'!B3:G28,MATCH(11,B4:B29,0),6)</f>
        <v>-551</v>
      </c>
    </row>
    <row r="15" spans="2:8" x14ac:dyDescent="0.2">
      <c r="B15" s="10">
        <f>RANK('1_bezr.'!C14,'1_bezr.'!$C$3:'1_bezr.'!$C$28,1)+COUNTIF('1_bezr.'!$C$3:'1_bezr.'!C14,'1_bezr.'!C14)-1</f>
        <v>13</v>
      </c>
      <c r="C15" s="8" t="str">
        <f>INDEX('1_bezr.'!B3:G28,MATCH(12,B4:B29,0),1)</f>
        <v>Przemyśl</v>
      </c>
      <c r="D15" s="10">
        <f>INDEX('1_bezr.'!B3:G28,MATCH(12,B4:B29,0),2)</f>
        <v>2513</v>
      </c>
      <c r="E15" s="9">
        <f>INDEX('1_bezr.'!B3:G28,MATCH(12,B4:B29,0),3)</f>
        <v>2593</v>
      </c>
      <c r="F15" s="10">
        <f>INDEX('1_bezr.'!B3:G28,MATCH(12,B4:B29,0),4)</f>
        <v>-80</v>
      </c>
      <c r="G15" s="9">
        <f>INDEX('1_bezr.'!B3:G28,MATCH(12,B4:B29,0),5)</f>
        <v>2977</v>
      </c>
      <c r="H15" s="10">
        <f>INDEX('1_bezr.'!B3:G28,MATCH(12,B4:B29,0),6)</f>
        <v>-464</v>
      </c>
    </row>
    <row r="16" spans="2:8" x14ac:dyDescent="0.2">
      <c r="B16" s="10">
        <f>RANK('1_bezr.'!C15,'1_bezr.'!$C$3:'1_bezr.'!$C$28,1)+COUNTIF('1_bezr.'!$C$3:'1_bezr.'!C15,'1_bezr.'!C15)-1</f>
        <v>17</v>
      </c>
      <c r="C16" s="8" t="str">
        <f>INDEX('1_bezr.'!B3:G28,MATCH(13,B4:B29,0),1)</f>
        <v>mielecki</v>
      </c>
      <c r="D16" s="10">
        <f>INDEX('1_bezr.'!B3:G28,MATCH(13,B4:B29,0),2)</f>
        <v>2646</v>
      </c>
      <c r="E16" s="9">
        <f>INDEX('1_bezr.'!B3:G28,MATCH(13,B4:B29,0),3)</f>
        <v>2520</v>
      </c>
      <c r="F16" s="10">
        <f>INDEX('1_bezr.'!B3:G28,MATCH(13,B4:B29,0),4)</f>
        <v>126</v>
      </c>
      <c r="G16" s="9">
        <f>INDEX('1_bezr.'!B3:G28,MATCH(13,B4:B29,0),5)</f>
        <v>3218</v>
      </c>
      <c r="H16" s="10">
        <f>INDEX('1_bezr.'!B3:G28,MATCH(13,B4:B29,0),6)</f>
        <v>-572</v>
      </c>
    </row>
    <row r="17" spans="2:8" x14ac:dyDescent="0.2">
      <c r="B17" s="10">
        <f>RANK('1_bezr.'!C16,'1_bezr.'!$C$3:'1_bezr.'!$C$28,1)+COUNTIF('1_bezr.'!$C$3:'1_bezr.'!C16,'1_bezr.'!C16)-1</f>
        <v>16</v>
      </c>
      <c r="C17" s="8" t="str">
        <f>INDEX('1_bezr.'!B3:G28,MATCH(14,B4:B29,0),1)</f>
        <v>łańcucki</v>
      </c>
      <c r="D17" s="10">
        <f>INDEX('1_bezr.'!B3:G28,MATCH(14,B4:B29,0),2)</f>
        <v>2782</v>
      </c>
      <c r="E17" s="9">
        <f>INDEX('1_bezr.'!B3:G28,MATCH(14,B4:B29,0),3)</f>
        <v>2858</v>
      </c>
      <c r="F17" s="10">
        <f>INDEX('1_bezr.'!B3:G28,MATCH(14,B4:B29,0),4)</f>
        <v>-76</v>
      </c>
      <c r="G17" s="9">
        <f>INDEX('1_bezr.'!B3:G28,MATCH(14,B4:B29,0),5)</f>
        <v>3437</v>
      </c>
      <c r="H17" s="10">
        <f>INDEX('1_bezr.'!B3:G28,MATCH(14,B4:B29,0),6)</f>
        <v>-655</v>
      </c>
    </row>
    <row r="18" spans="2:8" x14ac:dyDescent="0.2">
      <c r="B18" s="10">
        <f>RANK('1_bezr.'!C17,'1_bezr.'!$C$3:'1_bezr.'!$C$28,1)+COUNTIF('1_bezr.'!$C$3:'1_bezr.'!C17,'1_bezr.'!C17)-1</f>
        <v>20</v>
      </c>
      <c r="C18" s="8" t="str">
        <f>INDEX('1_bezr.'!B3:G28,MATCH(15,B4:B29,0),1)</f>
        <v>ropczycko-sędziszowski</v>
      </c>
      <c r="D18" s="10">
        <f>INDEX('1_bezr.'!B3:G28,MATCH(15,B4:B29,0),2)</f>
        <v>2964</v>
      </c>
      <c r="E18" s="9">
        <f>INDEX('1_bezr.'!B3:G28,MATCH(15,B4:B29,0),3)</f>
        <v>2974</v>
      </c>
      <c r="F18" s="10">
        <f>INDEX('1_bezr.'!B3:G28,MATCH(15,B4:B29,0),4)</f>
        <v>-10</v>
      </c>
      <c r="G18" s="9">
        <f>INDEX('1_bezr.'!B3:G28,MATCH(15,B4:B29,0),5)</f>
        <v>3319</v>
      </c>
      <c r="H18" s="10">
        <f>INDEX('1_bezr.'!B3:G28,MATCH(15,B4:B29,0),6)</f>
        <v>-355</v>
      </c>
    </row>
    <row r="19" spans="2:8" x14ac:dyDescent="0.2">
      <c r="B19" s="10">
        <f>RANK('1_bezr.'!C18,'1_bezr.'!$C$3:'1_bezr.'!$C$28,1)+COUNTIF('1_bezr.'!$C$3:'1_bezr.'!C18,'1_bezr.'!C18)-1</f>
        <v>15</v>
      </c>
      <c r="C19" s="8" t="str">
        <f>INDEX('1_bezr.'!B3:G28,MATCH(16,B4:B29,0),1)</f>
        <v>przemyski</v>
      </c>
      <c r="D19" s="10">
        <f>INDEX('1_bezr.'!B3:G28,MATCH(16,B4:B29,0),2)</f>
        <v>2975</v>
      </c>
      <c r="E19" s="9">
        <f>INDEX('1_bezr.'!B3:G28,MATCH(16,B4:B29,0),3)</f>
        <v>3068</v>
      </c>
      <c r="F19" s="10">
        <f>INDEX('1_bezr.'!B3:G28,MATCH(16,B4:B29,0),4)</f>
        <v>-93</v>
      </c>
      <c r="G19" s="9">
        <f>INDEX('1_bezr.'!B3:G28,MATCH(16,B4:B29,0),5)</f>
        <v>3513</v>
      </c>
      <c r="H19" s="10">
        <f>INDEX('1_bezr.'!B3:G28,MATCH(16,B4:B29,0),6)</f>
        <v>-538</v>
      </c>
    </row>
    <row r="20" spans="2:8" x14ac:dyDescent="0.2">
      <c r="B20" s="10">
        <f>RANK('1_bezr.'!C19,'1_bezr.'!$C$3:'1_bezr.'!$C$28,1)+COUNTIF('1_bezr.'!$C$3:'1_bezr.'!C19,'1_bezr.'!C19)-1</f>
        <v>24</v>
      </c>
      <c r="C20" s="8" t="str">
        <f>INDEX('1_bezr.'!B3:G28,MATCH(17,B4:B29,0),1)</f>
        <v>niżański</v>
      </c>
      <c r="D20" s="10">
        <f>INDEX('1_bezr.'!B3:G28,MATCH(17,B4:B29,0),2)</f>
        <v>3156</v>
      </c>
      <c r="E20" s="9">
        <f>INDEX('1_bezr.'!B3:G28,MATCH(17,B4:B29,0),3)</f>
        <v>3137</v>
      </c>
      <c r="F20" s="10">
        <f>INDEX('1_bezr.'!B3:G28,MATCH(17,B4:B29,0),4)</f>
        <v>19</v>
      </c>
      <c r="G20" s="9">
        <f>INDEX('1_bezr.'!B3:G28,MATCH(17,B4:B29,0),5)</f>
        <v>3450</v>
      </c>
      <c r="H20" s="10">
        <f>INDEX('1_bezr.'!B3:G28,MATCH(17,B4:B29,0),6)</f>
        <v>-294</v>
      </c>
    </row>
    <row r="21" spans="2:8" x14ac:dyDescent="0.2">
      <c r="B21" s="10">
        <f>RANK('1_bezr.'!C20,'1_bezr.'!$C$3:'1_bezr.'!$C$28,1)+COUNTIF('1_bezr.'!$C$3:'1_bezr.'!C20,'1_bezr.'!C20)-1</f>
        <v>10</v>
      </c>
      <c r="C21" s="8" t="str">
        <f>INDEX('1_bezr.'!B3:G28,MATCH(18,B4:B29,0),1)</f>
        <v>leżajski</v>
      </c>
      <c r="D21" s="10">
        <f>INDEX('1_bezr.'!B3:G28,MATCH(18,B4:B29,0),2)</f>
        <v>3195</v>
      </c>
      <c r="E21" s="9">
        <f>INDEX('1_bezr.'!B3:G28,MATCH(18,B4:B29,0),3)</f>
        <v>3283</v>
      </c>
      <c r="F21" s="10">
        <f>INDEX('1_bezr.'!B3:G28,MATCH(18,B4:B29,0),4)</f>
        <v>-88</v>
      </c>
      <c r="G21" s="9">
        <f>INDEX('1_bezr.'!B3:G28,MATCH(18,B4:B29,0),5)</f>
        <v>3740</v>
      </c>
      <c r="H21" s="10">
        <f>INDEX('1_bezr.'!B3:G28,MATCH(18,B4:B29,0),6)</f>
        <v>-545</v>
      </c>
    </row>
    <row r="22" spans="2:8" x14ac:dyDescent="0.2">
      <c r="B22" s="10">
        <f>RANK('1_bezr.'!C21,'1_bezr.'!$C$3:'1_bezr.'!$C$28,1)+COUNTIF('1_bezr.'!$C$3:'1_bezr.'!C21,'1_bezr.'!C21)-1</f>
        <v>9</v>
      </c>
      <c r="C22" s="8" t="str">
        <f>INDEX('1_bezr.'!B3:G28,MATCH(19,B4:B29,0),1)</f>
        <v>strzyżowski</v>
      </c>
      <c r="D22" s="10">
        <f>INDEX('1_bezr.'!B3:G28,MATCH(19,B4:B29,0),2)</f>
        <v>3220</v>
      </c>
      <c r="E22" s="9">
        <f>INDEX('1_bezr.'!B3:G28,MATCH(19,B4:B29,0),3)</f>
        <v>3233</v>
      </c>
      <c r="F22" s="10">
        <f>INDEX('1_bezr.'!B3:G28,MATCH(19,B4:B29,0),4)</f>
        <v>-13</v>
      </c>
      <c r="G22" s="9">
        <f>INDEX('1_bezr.'!B3:G28,MATCH(19,B4:B29,0),5)</f>
        <v>3621</v>
      </c>
      <c r="H22" s="10">
        <f>INDEX('1_bezr.'!B3:G28,MATCH(19,B4:B29,0),6)</f>
        <v>-401</v>
      </c>
    </row>
    <row r="23" spans="2:8" x14ac:dyDescent="0.2">
      <c r="B23" s="10">
        <f>RANK('1_bezr.'!C22,'1_bezr.'!$C$3:'1_bezr.'!$C$28,1)+COUNTIF('1_bezr.'!$C$3:'1_bezr.'!C22,'1_bezr.'!C22)-1</f>
        <v>19</v>
      </c>
      <c r="C23" s="8" t="str">
        <f>INDEX('1_bezr.'!B3:G28,MATCH(20,B4:B29,0),1)</f>
        <v>przeworski</v>
      </c>
      <c r="D23" s="10">
        <f>INDEX('1_bezr.'!B3:G28,MATCH(20,B4:B29,0),2)</f>
        <v>3501</v>
      </c>
      <c r="E23" s="9">
        <f>INDEX('1_bezr.'!B3:G28,MATCH(20,B4:B29,0),3)</f>
        <v>3498</v>
      </c>
      <c r="F23" s="10">
        <f>INDEX('1_bezr.'!B3:G28,MATCH(20,B4:B29,0),4)</f>
        <v>3</v>
      </c>
      <c r="G23" s="9">
        <f>INDEX('1_bezr.'!B3:G28,MATCH(20,B4:B29,0),5)</f>
        <v>3839</v>
      </c>
      <c r="H23" s="10">
        <f>INDEX('1_bezr.'!B3:G28,MATCH(20,B4:B29,0),6)</f>
        <v>-338</v>
      </c>
    </row>
    <row r="24" spans="2:8" x14ac:dyDescent="0.2">
      <c r="B24" s="10">
        <f>RANK('1_bezr.'!C23,'1_bezr.'!$C$3:'1_bezr.'!$C$28,1)+COUNTIF('1_bezr.'!$C$3:'1_bezr.'!C23,'1_bezr.'!C23)-1</f>
        <v>4</v>
      </c>
      <c r="C24" s="8" t="str">
        <f>INDEX('1_bezr.'!B3:G28,MATCH(21,B4:B29,0),1)</f>
        <v>brzozowski</v>
      </c>
      <c r="D24" s="10">
        <f>INDEX('1_bezr.'!B3:G28,MATCH(21,B4:B29,0),2)</f>
        <v>3927</v>
      </c>
      <c r="E24" s="9">
        <f>INDEX('1_bezr.'!B3:G28,MATCH(21,B4:B29,0),3)</f>
        <v>3904</v>
      </c>
      <c r="F24" s="10">
        <f>INDEX('1_bezr.'!B3:G28,MATCH(21,B4:B29,0),4)</f>
        <v>23</v>
      </c>
      <c r="G24" s="9">
        <f>INDEX('1_bezr.'!B3:G28,MATCH(21,B4:B29,0),5)</f>
        <v>4030</v>
      </c>
      <c r="H24" s="10">
        <f>INDEX('1_bezr.'!B3:G28,MATCH(21,B4:B29,0),6)</f>
        <v>-103</v>
      </c>
    </row>
    <row r="25" spans="2:8" x14ac:dyDescent="0.2">
      <c r="B25" s="10">
        <f>RANK('1_bezr.'!C24,'1_bezr.'!$C$3:'1_bezr.'!$C$28,1)+COUNTIF('1_bezr.'!$C$3:'1_bezr.'!C24,'1_bezr.'!C24)-1</f>
        <v>1</v>
      </c>
      <c r="C25" s="8" t="str">
        <f>INDEX('1_bezr.'!B3:G28,MATCH(22,B4:B29,0),1)</f>
        <v>jarosławski</v>
      </c>
      <c r="D25" s="10">
        <f>INDEX('1_bezr.'!B3:G28,MATCH(22,B4:B29,0),2)</f>
        <v>4643</v>
      </c>
      <c r="E25" s="9">
        <f>INDEX('1_bezr.'!B3:G28,MATCH(22,B4:B29,0),3)</f>
        <v>4646</v>
      </c>
      <c r="F25" s="10">
        <f>INDEX('1_bezr.'!B3:G28,MATCH(22,B4:B29,0),4)</f>
        <v>-3</v>
      </c>
      <c r="G25" s="9">
        <f>INDEX('1_bezr.'!B3:G28,MATCH(22,B4:B29,0),5)</f>
        <v>5729</v>
      </c>
      <c r="H25" s="10">
        <f>INDEX('1_bezr.'!B3:G28,MATCH(22,B4:B29,0),6)</f>
        <v>-1086</v>
      </c>
    </row>
    <row r="26" spans="2:8" x14ac:dyDescent="0.2">
      <c r="B26" s="10">
        <f>RANK('1_bezr.'!C25,'1_bezr.'!$C$3:'1_bezr.'!$C$28,1)+COUNTIF('1_bezr.'!$C$3:'1_bezr.'!C25,'1_bezr.'!C25)-1</f>
        <v>12</v>
      </c>
      <c r="C26" s="8" t="str">
        <f>INDEX('1_bezr.'!B3:G28,MATCH(23,B4:B29,0),1)</f>
        <v>jasielski</v>
      </c>
      <c r="D26" s="10">
        <f>INDEX('1_bezr.'!B3:G28,MATCH(23,B4:B29,0),2)</f>
        <v>4746</v>
      </c>
      <c r="E26" s="9">
        <f>INDEX('1_bezr.'!B3:G28,MATCH(23,B4:B29,0),3)</f>
        <v>4770</v>
      </c>
      <c r="F26" s="10">
        <f>INDEX('1_bezr.'!B3:G28,MATCH(23,B4:B29,0),4)</f>
        <v>-24</v>
      </c>
      <c r="G26" s="9">
        <f>INDEX('1_bezr.'!B3:G28,MATCH(23,B4:B29,0),5)</f>
        <v>5533</v>
      </c>
      <c r="H26" s="10">
        <f>INDEX('1_bezr.'!B3:G28,MATCH(23,B4:B29,0),6)</f>
        <v>-787</v>
      </c>
    </row>
    <row r="27" spans="2:8" x14ac:dyDescent="0.2">
      <c r="B27" s="10">
        <f>RANK('1_bezr.'!C26,'1_bezr.'!$C$3:'1_bezr.'!$C$28,1)+COUNTIF('1_bezr.'!$C$3:'1_bezr.'!C26,'1_bezr.'!C26)-1</f>
        <v>25</v>
      </c>
      <c r="C27" s="8" t="str">
        <f>INDEX('1_bezr.'!B3:G28,MATCH(24,B4:B29,0),1)</f>
        <v>rzeszowski</v>
      </c>
      <c r="D27" s="10">
        <f>INDEX('1_bezr.'!B3:G28,MATCH(24,B4:B29,0),2)</f>
        <v>4884</v>
      </c>
      <c r="E27" s="9">
        <f>INDEX('1_bezr.'!B3:G28,MATCH(24,B4:B29,0),3)</f>
        <v>4947</v>
      </c>
      <c r="F27" s="10">
        <f>INDEX('1_bezr.'!B3:G28,MATCH(24,B4:B29,0),4)</f>
        <v>-63</v>
      </c>
      <c r="G27" s="9">
        <f>INDEX('1_bezr.'!B3:G28,MATCH(24,B4:B29,0),5)</f>
        <v>6172</v>
      </c>
      <c r="H27" s="10">
        <f>INDEX('1_bezr.'!B3:G28,MATCH(24,B4:B29,0),6)</f>
        <v>-1288</v>
      </c>
    </row>
    <row r="28" spans="2:8" x14ac:dyDescent="0.2">
      <c r="B28" s="10">
        <f>RANK('1_bezr.'!C27,'1_bezr.'!$C$3:'1_bezr.'!$C$28,1)+COUNTIF('1_bezr.'!$C$3:'1_bezr.'!C27,'1_bezr.'!C27)-1</f>
        <v>3</v>
      </c>
      <c r="C28" s="8" t="str">
        <f>INDEX('1_bezr.'!B3:G28,MATCH(25,B4:B29,0),1)</f>
        <v>Rzeszów</v>
      </c>
      <c r="D28" s="10">
        <f>INDEX('1_bezr.'!B3:G28,MATCH(25,B4:B29,0),2)</f>
        <v>5834</v>
      </c>
      <c r="E28" s="9">
        <f>INDEX('1_bezr.'!B3:G28,MATCH(25,B4:B29,0),3)</f>
        <v>5823</v>
      </c>
      <c r="F28" s="10">
        <f>INDEX('1_bezr.'!B3:G28,MATCH(25,B4:B29,0),4)</f>
        <v>11</v>
      </c>
      <c r="G28" s="9">
        <f>INDEX('1_bezr.'!B3:G28,MATCH(25,B4:B29,0),5)</f>
        <v>7101</v>
      </c>
      <c r="H28" s="10">
        <f>INDEX('1_bezr.'!B3:G28,MATCH(25,B4:B29,0),6)</f>
        <v>-1267</v>
      </c>
    </row>
    <row r="29" spans="2:8" ht="15" x14ac:dyDescent="0.25">
      <c r="B29" s="34">
        <f>RANK('1_bezr.'!C28,'1_bezr.'!$C$3:'1_bezr.'!$C$28,1)+COUNTIF('1_bezr.'!$C$3:'1_bezr.'!C28,'1_bezr.'!C28)-1</f>
        <v>26</v>
      </c>
      <c r="C29" s="35" t="str">
        <f>INDEX('1_bezr.'!B3:G28,MATCH(26,B4:B29,0),1)</f>
        <v>województwo</v>
      </c>
      <c r="D29" s="34">
        <f>INDEX('1_bezr.'!B3:G28,MATCH(26,B4:B29,0),2)</f>
        <v>68719</v>
      </c>
      <c r="E29" s="17">
        <f>INDEX('1_bezr.'!B3:G28,MATCH(26,B4:B29,0),3)</f>
        <v>69016</v>
      </c>
      <c r="F29" s="34">
        <f>INDEX('1_bezr.'!B3:G28,MATCH(26,B4:B29,0),4)</f>
        <v>-297</v>
      </c>
      <c r="G29" s="17">
        <f>INDEX('1_bezr.'!B3:G28,MATCH(26,B4:B29,0),5)</f>
        <v>80329</v>
      </c>
      <c r="H29" s="34">
        <f>INDEX('1_bezr.'!B3:G28,MATCH(26,B4:B29,0),6)</f>
        <v>-11610</v>
      </c>
    </row>
    <row r="30" spans="2:8" x14ac:dyDescent="0.2">
      <c r="F30" s="30"/>
      <c r="H30" s="30"/>
    </row>
  </sheetData>
  <pageMargins left="0" right="0" top="0.31496062992125984" bottom="0.31496062992125984" header="0" footer="0"/>
  <pageSetup paperSize="9" scale="7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87</v>
      </c>
      <c r="C1" s="79"/>
      <c r="D1" s="79"/>
      <c r="E1" s="79"/>
      <c r="F1" s="79"/>
      <c r="G1" s="79"/>
      <c r="H1" s="79"/>
    </row>
    <row r="2" spans="2:8" ht="15" x14ac:dyDescent="0.2">
      <c r="C2" s="31"/>
      <c r="D2" s="32"/>
    </row>
    <row r="3" spans="2:8" ht="57" x14ac:dyDescent="0.2">
      <c r="B3" s="33" t="s">
        <v>88</v>
      </c>
      <c r="C3" s="5" t="str">
        <f>T('10_oferty s.'!B3)</f>
        <v>powiaty</v>
      </c>
      <c r="D3" s="5" t="str">
        <f>T('10_oferty s.'!C3)</f>
        <v>liczba ofert w VII '22 r.</v>
      </c>
      <c r="E3" s="5" t="str">
        <f>T('10_oferty s.'!D3)</f>
        <v>liczba ofert w VI '22 r.</v>
      </c>
      <c r="F3" s="5" t="str">
        <f>T('10_oferty s.'!E3)</f>
        <v>wzrost/spadek do poprzedniego  miesiąca</v>
      </c>
      <c r="G3" s="5" t="str">
        <f>T('10_oferty s.'!F3)</f>
        <v>liczba ofert w VII '21 r.</v>
      </c>
      <c r="H3" s="5" t="str">
        <f>T('10_oferty s.'!G3)</f>
        <v>wzrost/spadek do analogicznego okresu ubr.</v>
      </c>
    </row>
    <row r="4" spans="2:8" x14ac:dyDescent="0.2">
      <c r="B4" s="10">
        <f>RANK('10_oferty s.'!C4,'10_oferty s.'!$C$4:'10_oferty s.'!$C$29,1)+COUNTIF('10_oferty s.'!$C$4:'10_oferty s.'!C4,'10_oferty s.'!C4)-1</f>
        <v>2</v>
      </c>
      <c r="C4" s="8" t="str">
        <f>INDEX('10_oferty s.'!B4:G29,MATCH(1,B4:B29,0),1)</f>
        <v>leski</v>
      </c>
      <c r="D4" s="39">
        <f>INDEX('10_oferty s.'!B4:G29,MATCH(1,B4:B29,0),2)</f>
        <v>8</v>
      </c>
      <c r="E4" s="9">
        <f>INDEX('10_oferty s.'!B4:G29,MATCH(1,B4:B29,0),3)</f>
        <v>23</v>
      </c>
      <c r="F4" s="10">
        <f>INDEX('10_oferty s.'!B4:G29,MATCH(1,B4:B29,0),4)</f>
        <v>-15</v>
      </c>
      <c r="G4" s="9">
        <f>INDEX('10_oferty s.'!B4:G29,MATCH(1,B4:B29,0),5)</f>
        <v>22</v>
      </c>
      <c r="H4" s="10">
        <f>INDEX('10_oferty s.'!B4:G29,MATCH(1,B4:B29,0),6)</f>
        <v>-14</v>
      </c>
    </row>
    <row r="5" spans="2:8" x14ac:dyDescent="0.2">
      <c r="B5" s="10">
        <f>RANK('10_oferty s.'!C5,'10_oferty s.'!$C$4:'10_oferty s.'!$C$29,1)+COUNTIF('10_oferty s.'!$C$4:'10_oferty s.'!C5,'10_oferty s.'!C5)-1</f>
        <v>15</v>
      </c>
      <c r="C5" s="8" t="str">
        <f>INDEX('10_oferty s.'!B4:G29,MATCH(2,B4:B29,0),1)</f>
        <v>bieszczadzki</v>
      </c>
      <c r="D5" s="10">
        <f>INDEX('10_oferty s.'!B4:G29,MATCH(2,B4:B29,0),2)</f>
        <v>16</v>
      </c>
      <c r="E5" s="9">
        <f>INDEX('10_oferty s.'!B4:G29,MATCH(2,B4:B29,0),3)</f>
        <v>20</v>
      </c>
      <c r="F5" s="10">
        <f>INDEX('10_oferty s.'!B4:G29,MATCH(2,B4:B29,0),4)</f>
        <v>-4</v>
      </c>
      <c r="G5" s="9">
        <f>INDEX('10_oferty s.'!B4:G29,MATCH(2,B4:B29,0),5)</f>
        <v>11</v>
      </c>
      <c r="H5" s="10">
        <f>INDEX('10_oferty s.'!B4:G29,MATCH(2,B4:B29,0),6)</f>
        <v>5</v>
      </c>
    </row>
    <row r="6" spans="2:8" x14ac:dyDescent="0.2">
      <c r="B6" s="10">
        <f>RANK('10_oferty s.'!C6,'10_oferty s.'!$C$4:'10_oferty s.'!$C$29,1)+COUNTIF('10_oferty s.'!$C$4:'10_oferty s.'!C6,'10_oferty s.'!C6)-1</f>
        <v>18</v>
      </c>
      <c r="C6" s="8" t="str">
        <f>INDEX('10_oferty s.'!B4:G29,MATCH(3,B4:B29,0),1)</f>
        <v>przemyski</v>
      </c>
      <c r="D6" s="10">
        <f>INDEX('10_oferty s.'!B4:G29,MATCH(3,B4:B29,0),2)</f>
        <v>26</v>
      </c>
      <c r="E6" s="9">
        <f>INDEX('10_oferty s.'!B4:G29,MATCH(3,B4:B29,0),3)</f>
        <v>15</v>
      </c>
      <c r="F6" s="10">
        <f>INDEX('10_oferty s.'!B4:G29,MATCH(3,B4:B29,0),4)</f>
        <v>11</v>
      </c>
      <c r="G6" s="9">
        <f>INDEX('10_oferty s.'!B4:G29,MATCH(3,B4:B29,0),5)</f>
        <v>41</v>
      </c>
      <c r="H6" s="10">
        <f>INDEX('10_oferty s.'!B4:G29,MATCH(3,B4:B29,0),6)</f>
        <v>-15</v>
      </c>
    </row>
    <row r="7" spans="2:8" x14ac:dyDescent="0.2">
      <c r="B7" s="10">
        <f>RANK('10_oferty s.'!C7,'10_oferty s.'!$C$4:'10_oferty s.'!$C$29,1)+COUNTIF('10_oferty s.'!$C$4:'10_oferty s.'!C7,'10_oferty s.'!C7)-1</f>
        <v>24</v>
      </c>
      <c r="C7" s="8" t="str">
        <f>INDEX('10_oferty s.'!B4:G29,MATCH(4,B4:B29,0),1)</f>
        <v>Krosno</v>
      </c>
      <c r="D7" s="10">
        <f>INDEX('10_oferty s.'!B4:G29,MATCH(4,B4:B29,0),2)</f>
        <v>27</v>
      </c>
      <c r="E7" s="9">
        <f>INDEX('10_oferty s.'!B4:G29,MATCH(4,B4:B29,0),3)</f>
        <v>31</v>
      </c>
      <c r="F7" s="10">
        <f>INDEX('10_oferty s.'!B4:G29,MATCH(4,B4:B29,0),4)</f>
        <v>-4</v>
      </c>
      <c r="G7" s="9">
        <f>INDEX('10_oferty s.'!B4:G29,MATCH(4,B4:B29,0),5)</f>
        <v>32</v>
      </c>
      <c r="H7" s="10">
        <f>INDEX('10_oferty s.'!B4:G29,MATCH(4,B4:B29,0),6)</f>
        <v>-5</v>
      </c>
    </row>
    <row r="8" spans="2:8" x14ac:dyDescent="0.2">
      <c r="B8" s="10">
        <f>RANK('10_oferty s.'!C8,'10_oferty s.'!$C$4:'10_oferty s.'!$C$29,1)+COUNTIF('10_oferty s.'!$C$4:'10_oferty s.'!C8,'10_oferty s.'!C8)-1</f>
        <v>21</v>
      </c>
      <c r="C8" s="8" t="str">
        <f>INDEX('10_oferty s.'!B4:G29,MATCH(5,B4:B29,0),1)</f>
        <v>krośnieński</v>
      </c>
      <c r="D8" s="10">
        <f>INDEX('10_oferty s.'!B4:G29,MATCH(5,B4:B29,0),2)</f>
        <v>29</v>
      </c>
      <c r="E8" s="9">
        <f>INDEX('10_oferty s.'!B4:G29,MATCH(5,B4:B29,0),3)</f>
        <v>35</v>
      </c>
      <c r="F8" s="10">
        <f>INDEX('10_oferty s.'!B4:G29,MATCH(5,B4:B29,0),4)</f>
        <v>-6</v>
      </c>
      <c r="G8" s="9">
        <f>INDEX('10_oferty s.'!B4:G29,MATCH(5,B4:B29,0),5)</f>
        <v>28</v>
      </c>
      <c r="H8" s="10">
        <f>INDEX('10_oferty s.'!B4:G29,MATCH(5,B4:B29,0),6)</f>
        <v>1</v>
      </c>
    </row>
    <row r="9" spans="2:8" x14ac:dyDescent="0.2">
      <c r="B9" s="10">
        <f>RANK('10_oferty s.'!C9,'10_oferty s.'!$C$4:'10_oferty s.'!$C$29,1)+COUNTIF('10_oferty s.'!$C$4:'10_oferty s.'!C9,'10_oferty s.'!C9)-1</f>
        <v>16</v>
      </c>
      <c r="C9" s="8" t="str">
        <f>INDEX('10_oferty s.'!B4:G29,MATCH(6,B4:B29,0),1)</f>
        <v>lubaczowski</v>
      </c>
      <c r="D9" s="10">
        <f>INDEX('10_oferty s.'!B4:G29,MATCH(6,B4:B29,0),2)</f>
        <v>35</v>
      </c>
      <c r="E9" s="9">
        <f>INDEX('10_oferty s.'!B4:G29,MATCH(6,B4:B29,0),3)</f>
        <v>70</v>
      </c>
      <c r="F9" s="10">
        <f>INDEX('10_oferty s.'!B4:G29,MATCH(6,B4:B29,0),4)</f>
        <v>-35</v>
      </c>
      <c r="G9" s="9">
        <f>INDEX('10_oferty s.'!B4:G29,MATCH(6,B4:B29,0),5)</f>
        <v>48</v>
      </c>
      <c r="H9" s="10">
        <f>INDEX('10_oferty s.'!B4:G29,MATCH(6,B4:B29,0),6)</f>
        <v>-13</v>
      </c>
    </row>
    <row r="10" spans="2:8" x14ac:dyDescent="0.2">
      <c r="B10" s="10">
        <f>RANK('10_oferty s.'!C10,'10_oferty s.'!$C$4:'10_oferty s.'!$C$29,1)+COUNTIF('10_oferty s.'!$C$4:'10_oferty s.'!C10,'10_oferty s.'!C10)-1</f>
        <v>5</v>
      </c>
      <c r="C10" s="13" t="str">
        <f>INDEX('10_oferty s.'!B4:G29,MATCH(7,B4:B29,0),1)</f>
        <v xml:space="preserve">tarnobrzeski </v>
      </c>
      <c r="D10" s="10">
        <f>INDEX('10_oferty s.'!B4:G29,MATCH(7,B4:B29,0),2)</f>
        <v>42</v>
      </c>
      <c r="E10" s="9">
        <f>INDEX('10_oferty s.'!B4:G29,MATCH(7,B4:B29,0),3)</f>
        <v>51</v>
      </c>
      <c r="F10" s="10">
        <f>INDEX('10_oferty s.'!B4:G29,MATCH(7,B4:B29,0),4)</f>
        <v>-9</v>
      </c>
      <c r="G10" s="9">
        <f>INDEX('10_oferty s.'!B4:G29,MATCH(7,B4:B29,0),5)</f>
        <v>26</v>
      </c>
      <c r="H10" s="10">
        <f>INDEX('10_oferty s.'!B4:G29,MATCH(7,B4:B29,0),6)</f>
        <v>16</v>
      </c>
    </row>
    <row r="11" spans="2:8" x14ac:dyDescent="0.2">
      <c r="B11" s="10">
        <f>RANK('10_oferty s.'!C11,'10_oferty s.'!$C$4:'10_oferty s.'!$C$29,1)+COUNTIF('10_oferty s.'!$C$4:'10_oferty s.'!C11,'10_oferty s.'!C11)-1</f>
        <v>1</v>
      </c>
      <c r="C11" s="8" t="str">
        <f>INDEX('10_oferty s.'!B4:G29,MATCH(8,B4:B29,0),1)</f>
        <v>leżajski</v>
      </c>
      <c r="D11" s="10">
        <f>INDEX('10_oferty s.'!B4:G29,MATCH(8,B4:B29,0),2)</f>
        <v>44</v>
      </c>
      <c r="E11" s="9">
        <f>INDEX('10_oferty s.'!B4:G29,MATCH(8,B4:B29,0),3)</f>
        <v>46</v>
      </c>
      <c r="F11" s="10">
        <f>INDEX('10_oferty s.'!B4:G29,MATCH(8,B4:B29,0),4)</f>
        <v>-2</v>
      </c>
      <c r="G11" s="9">
        <f>INDEX('10_oferty s.'!B4:G29,MATCH(8,B4:B29,0),5)</f>
        <v>10</v>
      </c>
      <c r="H11" s="10">
        <f>INDEX('10_oferty s.'!B4:G29,MATCH(8,B4:B29,0),6)</f>
        <v>34</v>
      </c>
    </row>
    <row r="12" spans="2:8" x14ac:dyDescent="0.2">
      <c r="B12" s="10">
        <f>RANK('10_oferty s.'!C12,'10_oferty s.'!$C$4:'10_oferty s.'!$C$29,1)+COUNTIF('10_oferty s.'!$C$4:'10_oferty s.'!C12,'10_oferty s.'!C12)-1</f>
        <v>8</v>
      </c>
      <c r="C12" s="8" t="str">
        <f>INDEX('10_oferty s.'!B4:G29,MATCH(9,B4:B29,0),1)</f>
        <v>Przemyśl</v>
      </c>
      <c r="D12" s="10">
        <f>INDEX('10_oferty s.'!B4:G29,MATCH(9,B4:B29,0),2)</f>
        <v>48</v>
      </c>
      <c r="E12" s="9">
        <f>INDEX('10_oferty s.'!B4:G29,MATCH(9,B4:B29,0),3)</f>
        <v>51</v>
      </c>
      <c r="F12" s="10">
        <f>INDEX('10_oferty s.'!B4:G29,MATCH(9,B4:B29,0),4)</f>
        <v>-3</v>
      </c>
      <c r="G12" s="9">
        <f>INDEX('10_oferty s.'!B4:G29,MATCH(9,B4:B29,0),5)</f>
        <v>47</v>
      </c>
      <c r="H12" s="10">
        <f>INDEX('10_oferty s.'!B4:G29,MATCH(9,B4:B29,0),6)</f>
        <v>1</v>
      </c>
    </row>
    <row r="13" spans="2:8" x14ac:dyDescent="0.2">
      <c r="B13" s="10">
        <f>RANK('10_oferty s.'!C13,'10_oferty s.'!$C$4:'10_oferty s.'!$C$29,1)+COUNTIF('10_oferty s.'!$C$4:'10_oferty s.'!C13,'10_oferty s.'!C13)-1</f>
        <v>6</v>
      </c>
      <c r="C13" s="8" t="str">
        <f>INDEX('10_oferty s.'!B4:G29,MATCH(10,B4:B29,0),1)</f>
        <v>rzeszowski</v>
      </c>
      <c r="D13" s="10">
        <f>INDEX('10_oferty s.'!B4:G29,MATCH(10,B4:B29,0),2)</f>
        <v>49</v>
      </c>
      <c r="E13" s="9">
        <f>INDEX('10_oferty s.'!B4:G29,MATCH(10,B4:B29,0),3)</f>
        <v>60</v>
      </c>
      <c r="F13" s="10">
        <f>INDEX('10_oferty s.'!B4:G29,MATCH(10,B4:B29,0),4)</f>
        <v>-11</v>
      </c>
      <c r="G13" s="9">
        <f>INDEX('10_oferty s.'!B4:G29,MATCH(10,B4:B29,0),5)</f>
        <v>64</v>
      </c>
      <c r="H13" s="10">
        <f>INDEX('10_oferty s.'!B4:G29,MATCH(10,B4:B29,0),6)</f>
        <v>-15</v>
      </c>
    </row>
    <row r="14" spans="2:8" x14ac:dyDescent="0.2">
      <c r="B14" s="10">
        <f>RANK('10_oferty s.'!C14,'10_oferty s.'!$C$4:'10_oferty s.'!$C$29,1)+COUNTIF('10_oferty s.'!$C$4:'10_oferty s.'!C14,'10_oferty s.'!C14)-1</f>
        <v>11</v>
      </c>
      <c r="C14" s="8" t="str">
        <f>INDEX('10_oferty s.'!B4:G29,MATCH(11,B4:B29,0),1)</f>
        <v>łańcucki</v>
      </c>
      <c r="D14" s="10">
        <f>INDEX('10_oferty s.'!B4:G29,MATCH(11,B4:B29,0),2)</f>
        <v>52</v>
      </c>
      <c r="E14" s="9">
        <f>INDEX('10_oferty s.'!B4:G29,MATCH(11,B4:B29,0),3)</f>
        <v>60</v>
      </c>
      <c r="F14" s="10">
        <f>INDEX('10_oferty s.'!B4:G29,MATCH(11,B4:B29,0),4)</f>
        <v>-8</v>
      </c>
      <c r="G14" s="9">
        <f>INDEX('10_oferty s.'!B4:G29,MATCH(11,B4:B29,0),5)</f>
        <v>66</v>
      </c>
      <c r="H14" s="10">
        <f>INDEX('10_oferty s.'!B4:G29,MATCH(11,B4:B29,0),6)</f>
        <v>-14</v>
      </c>
    </row>
    <row r="15" spans="2:8" x14ac:dyDescent="0.2">
      <c r="B15" s="10">
        <f>RANK('10_oferty s.'!C15,'10_oferty s.'!$C$4:'10_oferty s.'!$C$29,1)+COUNTIF('10_oferty s.'!$C$4:'10_oferty s.'!C15,'10_oferty s.'!C15)-1</f>
        <v>25</v>
      </c>
      <c r="C15" s="8" t="str">
        <f>INDEX('10_oferty s.'!B4:G29,MATCH(12,B4:B29,0),1)</f>
        <v>ropczycko-sędziszowski</v>
      </c>
      <c r="D15" s="10">
        <f>INDEX('10_oferty s.'!B4:G29,MATCH(12,B4:B29,0),2)</f>
        <v>54</v>
      </c>
      <c r="E15" s="9">
        <f>INDEX('10_oferty s.'!B4:G29,MATCH(12,B4:B29,0),3)</f>
        <v>70</v>
      </c>
      <c r="F15" s="10">
        <f>INDEX('10_oferty s.'!B4:G29,MATCH(12,B4:B29,0),4)</f>
        <v>-16</v>
      </c>
      <c r="G15" s="9">
        <f>INDEX('10_oferty s.'!B4:G29,MATCH(12,B4:B29,0),5)</f>
        <v>73</v>
      </c>
      <c r="H15" s="10">
        <f>INDEX('10_oferty s.'!B4:G29,MATCH(12,B4:B29,0),6)</f>
        <v>-19</v>
      </c>
    </row>
    <row r="16" spans="2:8" x14ac:dyDescent="0.2">
      <c r="B16" s="10">
        <f>RANK('10_oferty s.'!C16,'10_oferty s.'!$C$4:'10_oferty s.'!$C$29,1)+COUNTIF('10_oferty s.'!$C$4:'10_oferty s.'!C16,'10_oferty s.'!C16)-1</f>
        <v>17</v>
      </c>
      <c r="C16" s="8" t="str">
        <f>INDEX('10_oferty s.'!B4:G29,MATCH(13,B4:B29,0),1)</f>
        <v>Tarnobrzeg</v>
      </c>
      <c r="D16" s="10">
        <f>INDEX('10_oferty s.'!B4:G29,MATCH(13,B4:B29,0),2)</f>
        <v>54</v>
      </c>
      <c r="E16" s="9">
        <f>INDEX('10_oferty s.'!B4:G29,MATCH(13,B4:B29,0),3)</f>
        <v>40</v>
      </c>
      <c r="F16" s="10">
        <f>INDEX('10_oferty s.'!B4:G29,MATCH(13,B4:B29,0),4)</f>
        <v>14</v>
      </c>
      <c r="G16" s="9">
        <f>INDEX('10_oferty s.'!B4:G29,MATCH(13,B4:B29,0),5)</f>
        <v>18</v>
      </c>
      <c r="H16" s="10">
        <f>INDEX('10_oferty s.'!B4:G29,MATCH(13,B4:B29,0),6)</f>
        <v>36</v>
      </c>
    </row>
    <row r="17" spans="2:8" x14ac:dyDescent="0.2">
      <c r="B17" s="10">
        <f>RANK('10_oferty s.'!C17,'10_oferty s.'!$C$4:'10_oferty s.'!$C$29,1)+COUNTIF('10_oferty s.'!$C$4:'10_oferty s.'!C17,'10_oferty s.'!C17)-1</f>
        <v>3</v>
      </c>
      <c r="C17" s="8" t="str">
        <f>INDEX('10_oferty s.'!B4:G29,MATCH(14,B4:B29,0),1)</f>
        <v>sanocki</v>
      </c>
      <c r="D17" s="10">
        <f>INDEX('10_oferty s.'!B4:G29,MATCH(14,B4:B29,0),2)</f>
        <v>57</v>
      </c>
      <c r="E17" s="9">
        <f>INDEX('10_oferty s.'!B4:G29,MATCH(14,B4:B29,0),3)</f>
        <v>67</v>
      </c>
      <c r="F17" s="10">
        <f>INDEX('10_oferty s.'!B4:G29,MATCH(14,B4:B29,0),4)</f>
        <v>-10</v>
      </c>
      <c r="G17" s="9">
        <f>INDEX('10_oferty s.'!B4:G29,MATCH(14,B4:B29,0),5)</f>
        <v>65</v>
      </c>
      <c r="H17" s="10">
        <f>INDEX('10_oferty s.'!B4:G29,MATCH(14,B4:B29,0),6)</f>
        <v>-8</v>
      </c>
    </row>
    <row r="18" spans="2:8" x14ac:dyDescent="0.2">
      <c r="B18" s="10">
        <f>RANK('10_oferty s.'!C18,'10_oferty s.'!$C$4:'10_oferty s.'!$C$29,1)+COUNTIF('10_oferty s.'!$C$4:'10_oferty s.'!C18,'10_oferty s.'!C18)-1</f>
        <v>22</v>
      </c>
      <c r="C18" s="8" t="str">
        <f>INDEX('10_oferty s.'!B4:G29,MATCH(15,B4:B29,0),1)</f>
        <v>brzozowski</v>
      </c>
      <c r="D18" s="10">
        <f>INDEX('10_oferty s.'!B4:G29,MATCH(15,B4:B29,0),2)</f>
        <v>61</v>
      </c>
      <c r="E18" s="9">
        <f>INDEX('10_oferty s.'!B4:G29,MATCH(15,B4:B29,0),3)</f>
        <v>72</v>
      </c>
      <c r="F18" s="10">
        <f>INDEX('10_oferty s.'!B4:G29,MATCH(15,B4:B29,0),4)</f>
        <v>-11</v>
      </c>
      <c r="G18" s="9">
        <f>INDEX('10_oferty s.'!B4:G29,MATCH(15,B4:B29,0),5)</f>
        <v>83</v>
      </c>
      <c r="H18" s="10">
        <f>INDEX('10_oferty s.'!B4:G29,MATCH(15,B4:B29,0),6)</f>
        <v>-22</v>
      </c>
    </row>
    <row r="19" spans="2:8" x14ac:dyDescent="0.2">
      <c r="B19" s="10">
        <f>RANK('10_oferty s.'!C19,'10_oferty s.'!$C$4:'10_oferty s.'!$C$29,1)+COUNTIF('10_oferty s.'!$C$4:'10_oferty s.'!C19,'10_oferty s.'!C19)-1</f>
        <v>12</v>
      </c>
      <c r="C19" s="8" t="str">
        <f>INDEX('10_oferty s.'!B4:G29,MATCH(16,B4:B29,0),1)</f>
        <v>kolbuszowski</v>
      </c>
      <c r="D19" s="10">
        <f>INDEX('10_oferty s.'!B4:G29,MATCH(16,B4:B29,0),2)</f>
        <v>64</v>
      </c>
      <c r="E19" s="9">
        <f>INDEX('10_oferty s.'!B4:G29,MATCH(16,B4:B29,0),3)</f>
        <v>45</v>
      </c>
      <c r="F19" s="10">
        <f>INDEX('10_oferty s.'!B4:G29,MATCH(16,B4:B29,0),4)</f>
        <v>19</v>
      </c>
      <c r="G19" s="9">
        <f>INDEX('10_oferty s.'!B4:G29,MATCH(16,B4:B29,0),5)</f>
        <v>39</v>
      </c>
      <c r="H19" s="10">
        <f>INDEX('10_oferty s.'!B4:G29,MATCH(16,B4:B29,0),6)</f>
        <v>25</v>
      </c>
    </row>
    <row r="20" spans="2:8" x14ac:dyDescent="0.2">
      <c r="B20" s="10">
        <f>RANK('10_oferty s.'!C20,'10_oferty s.'!$C$4:'10_oferty s.'!$C$29,1)+COUNTIF('10_oferty s.'!$C$4:'10_oferty s.'!C20,'10_oferty s.'!C20)-1</f>
        <v>10</v>
      </c>
      <c r="C20" s="8" t="str">
        <f>INDEX('10_oferty s.'!B4:G29,MATCH(17,B4:B29,0),1)</f>
        <v>niżański</v>
      </c>
      <c r="D20" s="10">
        <f>INDEX('10_oferty s.'!B4:G29,MATCH(17,B4:B29,0),2)</f>
        <v>64</v>
      </c>
      <c r="E20" s="9">
        <f>INDEX('10_oferty s.'!B4:G29,MATCH(17,B4:B29,0),3)</f>
        <v>95</v>
      </c>
      <c r="F20" s="10">
        <f>INDEX('10_oferty s.'!B4:G29,MATCH(17,B4:B29,0),4)</f>
        <v>-31</v>
      </c>
      <c r="G20" s="9">
        <f>INDEX('10_oferty s.'!B4:G29,MATCH(17,B4:B29,0),5)</f>
        <v>57</v>
      </c>
      <c r="H20" s="10">
        <f>INDEX('10_oferty s.'!B4:G29,MATCH(17,B4:B29,0),6)</f>
        <v>7</v>
      </c>
    </row>
    <row r="21" spans="2:8" x14ac:dyDescent="0.2">
      <c r="B21" s="10">
        <f>RANK('10_oferty s.'!C21,'10_oferty s.'!$C$4:'10_oferty s.'!$C$29,1)+COUNTIF('10_oferty s.'!$C$4:'10_oferty s.'!C21,'10_oferty s.'!C21)-1</f>
        <v>14</v>
      </c>
      <c r="C21" s="8" t="str">
        <f>INDEX('10_oferty s.'!B4:G29,MATCH(18,B4:B29,0),1)</f>
        <v>dębicki</v>
      </c>
      <c r="D21" s="10">
        <f>INDEX('10_oferty s.'!B4:G29,MATCH(18,B4:B29,0),2)</f>
        <v>69</v>
      </c>
      <c r="E21" s="9">
        <f>INDEX('10_oferty s.'!B4:G29,MATCH(18,B4:B29,0),3)</f>
        <v>51</v>
      </c>
      <c r="F21" s="10">
        <f>INDEX('10_oferty s.'!B4:G29,MATCH(18,B4:B29,0),4)</f>
        <v>18</v>
      </c>
      <c r="G21" s="9">
        <f>INDEX('10_oferty s.'!B4:G29,MATCH(18,B4:B29,0),5)</f>
        <v>43</v>
      </c>
      <c r="H21" s="10">
        <f>INDEX('10_oferty s.'!B4:G29,MATCH(18,B4:B29,0),6)</f>
        <v>26</v>
      </c>
    </row>
    <row r="22" spans="2:8" x14ac:dyDescent="0.2">
      <c r="B22" s="10">
        <f>RANK('10_oferty s.'!C22,'10_oferty s.'!$C$4:'10_oferty s.'!$C$29,1)+COUNTIF('10_oferty s.'!$C$4:'10_oferty s.'!C22,'10_oferty s.'!C22)-1</f>
        <v>19</v>
      </c>
      <c r="C22" s="8" t="str">
        <f>INDEX('10_oferty s.'!B4:G29,MATCH(19,B4:B29,0),1)</f>
        <v>stalowowolski</v>
      </c>
      <c r="D22" s="10">
        <f>INDEX('10_oferty s.'!B4:G29,MATCH(19,B4:B29,0),2)</f>
        <v>70</v>
      </c>
      <c r="E22" s="9">
        <f>INDEX('10_oferty s.'!B4:G29,MATCH(19,B4:B29,0),3)</f>
        <v>74</v>
      </c>
      <c r="F22" s="10">
        <f>INDEX('10_oferty s.'!B4:G29,MATCH(19,B4:B29,0),4)</f>
        <v>-4</v>
      </c>
      <c r="G22" s="9">
        <f>INDEX('10_oferty s.'!B4:G29,MATCH(19,B4:B29,0),5)</f>
        <v>29</v>
      </c>
      <c r="H22" s="10">
        <f>INDEX('10_oferty s.'!B4:G29,MATCH(19,B4:B29,0),6)</f>
        <v>41</v>
      </c>
    </row>
    <row r="23" spans="2:8" x14ac:dyDescent="0.2">
      <c r="B23" s="10">
        <f>RANK('10_oferty s.'!C23,'10_oferty s.'!$C$4:'10_oferty s.'!$C$29,1)+COUNTIF('10_oferty s.'!$C$4:'10_oferty s.'!C23,'10_oferty s.'!C23)-1</f>
        <v>20</v>
      </c>
      <c r="C23" s="8" t="str">
        <f>INDEX('10_oferty s.'!B4:G29,MATCH(20,B4:B29,0),1)</f>
        <v>strzyżowski</v>
      </c>
      <c r="D23" s="10">
        <f>INDEX('10_oferty s.'!B4:G29,MATCH(20,B4:B29,0),2)</f>
        <v>80</v>
      </c>
      <c r="E23" s="9">
        <f>INDEX('10_oferty s.'!B4:G29,MATCH(20,B4:B29,0),3)</f>
        <v>104</v>
      </c>
      <c r="F23" s="10">
        <f>INDEX('10_oferty s.'!B4:G29,MATCH(20,B4:B29,0),4)</f>
        <v>-24</v>
      </c>
      <c r="G23" s="9">
        <f>INDEX('10_oferty s.'!B4:G29,MATCH(20,B4:B29,0),5)</f>
        <v>91</v>
      </c>
      <c r="H23" s="10">
        <f>INDEX('10_oferty s.'!B4:G29,MATCH(20,B4:B29,0),6)</f>
        <v>-11</v>
      </c>
    </row>
    <row r="24" spans="2:8" x14ac:dyDescent="0.2">
      <c r="B24" s="10">
        <f>RANK('10_oferty s.'!C24,'10_oferty s.'!$C$4:'10_oferty s.'!$C$29,1)+COUNTIF('10_oferty s.'!$C$4:'10_oferty s.'!C24,'10_oferty s.'!C24)-1</f>
        <v>7</v>
      </c>
      <c r="C24" s="8" t="str">
        <f>INDEX('10_oferty s.'!B4:G29,MATCH(21,B4:B29,0),1)</f>
        <v>jasielski</v>
      </c>
      <c r="D24" s="10">
        <f>INDEX('10_oferty s.'!B4:G29,MATCH(21,B4:B29,0),2)</f>
        <v>90</v>
      </c>
      <c r="E24" s="9">
        <f>INDEX('10_oferty s.'!B4:G29,MATCH(21,B4:B29,0),3)</f>
        <v>112</v>
      </c>
      <c r="F24" s="10">
        <f>INDEX('10_oferty s.'!B4:G29,MATCH(21,B4:B29,0),4)</f>
        <v>-22</v>
      </c>
      <c r="G24" s="9">
        <f>INDEX('10_oferty s.'!B4:G29,MATCH(21,B4:B29,0),5)</f>
        <v>64</v>
      </c>
      <c r="H24" s="10">
        <f>INDEX('10_oferty s.'!B4:G29,MATCH(21,B4:B29,0),6)</f>
        <v>26</v>
      </c>
    </row>
    <row r="25" spans="2:8" x14ac:dyDescent="0.2">
      <c r="B25" s="10">
        <f>RANK('10_oferty s.'!C25,'10_oferty s.'!$C$4:'10_oferty s.'!$C$29,1)+COUNTIF('10_oferty s.'!$C$4:'10_oferty s.'!C25,'10_oferty s.'!C25)-1</f>
        <v>4</v>
      </c>
      <c r="C25" s="8" t="str">
        <f>INDEX('10_oferty s.'!B4:G29,MATCH(22,B4:B29,0),1)</f>
        <v>przeworski</v>
      </c>
      <c r="D25" s="10">
        <f>INDEX('10_oferty s.'!B4:G29,MATCH(22,B4:B29,0),2)</f>
        <v>94</v>
      </c>
      <c r="E25" s="9">
        <f>INDEX('10_oferty s.'!B4:G29,MATCH(22,B4:B29,0),3)</f>
        <v>107</v>
      </c>
      <c r="F25" s="10">
        <f>INDEX('10_oferty s.'!B4:G29,MATCH(22,B4:B29,0),4)</f>
        <v>-13</v>
      </c>
      <c r="G25" s="9">
        <f>INDEX('10_oferty s.'!B4:G29,MATCH(22,B4:B29,0),5)</f>
        <v>24</v>
      </c>
      <c r="H25" s="10">
        <f>INDEX('10_oferty s.'!B4:G29,MATCH(22,B4:B29,0),6)</f>
        <v>70</v>
      </c>
    </row>
    <row r="26" spans="2:8" x14ac:dyDescent="0.2">
      <c r="B26" s="10">
        <f>RANK('10_oferty s.'!C26,'10_oferty s.'!$C$4:'10_oferty s.'!$C$29,1)+COUNTIF('10_oferty s.'!$C$4:'10_oferty s.'!C26,'10_oferty s.'!C26)-1</f>
        <v>9</v>
      </c>
      <c r="C26" s="8" t="str">
        <f>INDEX('10_oferty s.'!B4:G29,MATCH(23,B4:B29,0),1)</f>
        <v>Rzeszów</v>
      </c>
      <c r="D26" s="10">
        <f>INDEX('10_oferty s.'!B4:G29,MATCH(23,B4:B29,0),2)</f>
        <v>94</v>
      </c>
      <c r="E26" s="9">
        <f>INDEX('10_oferty s.'!B4:G29,MATCH(23,B4:B29,0),3)</f>
        <v>119</v>
      </c>
      <c r="F26" s="10">
        <f>INDEX('10_oferty s.'!B4:G29,MATCH(23,B4:B29,0),4)</f>
        <v>-25</v>
      </c>
      <c r="G26" s="9">
        <f>INDEX('10_oferty s.'!B4:G29,MATCH(23,B4:B29,0),5)</f>
        <v>112</v>
      </c>
      <c r="H26" s="10">
        <f>INDEX('10_oferty s.'!B4:G29,MATCH(23,B4:B29,0),6)</f>
        <v>-18</v>
      </c>
    </row>
    <row r="27" spans="2:8" x14ac:dyDescent="0.2">
      <c r="B27" s="10">
        <f>RANK('10_oferty s.'!C27,'10_oferty s.'!$C$4:'10_oferty s.'!$C$29,1)+COUNTIF('10_oferty s.'!$C$4:'10_oferty s.'!C27,'10_oferty s.'!C27)-1</f>
        <v>23</v>
      </c>
      <c r="C27" s="8" t="str">
        <f>INDEX('10_oferty s.'!B4:G29,MATCH(24,B4:B29,0),1)</f>
        <v>jarosławski</v>
      </c>
      <c r="D27" s="10">
        <f>INDEX('10_oferty s.'!B4:G29,MATCH(24,B4:B29,0),2)</f>
        <v>101</v>
      </c>
      <c r="E27" s="9">
        <f>INDEX('10_oferty s.'!B4:G29,MATCH(24,B4:B29,0),3)</f>
        <v>136</v>
      </c>
      <c r="F27" s="10">
        <f>INDEX('10_oferty s.'!B4:G29,MATCH(24,B4:B29,0),4)</f>
        <v>-35</v>
      </c>
      <c r="G27" s="9">
        <f>INDEX('10_oferty s.'!B4:G29,MATCH(24,B4:B29,0),5)</f>
        <v>101</v>
      </c>
      <c r="H27" s="10">
        <f>INDEX('10_oferty s.'!B4:G29,MATCH(24,B4:B29,0),6)</f>
        <v>0</v>
      </c>
    </row>
    <row r="28" spans="2:8" x14ac:dyDescent="0.2">
      <c r="B28" s="10">
        <f>RANK('10_oferty s.'!C28,'10_oferty s.'!$C$4:'10_oferty s.'!$C$29,1)+COUNTIF('10_oferty s.'!$C$4:'10_oferty s.'!C28,'10_oferty s.'!C28)-1</f>
        <v>13</v>
      </c>
      <c r="C28" s="8" t="str">
        <f>INDEX('10_oferty s.'!B4:G29,MATCH(25,B4:B29,0),1)</f>
        <v>mielecki</v>
      </c>
      <c r="D28" s="10">
        <f>INDEX('10_oferty s.'!B4:G29,MATCH(25,B4:B29,0),2)</f>
        <v>101</v>
      </c>
      <c r="E28" s="9">
        <f>INDEX('10_oferty s.'!B4:G29,MATCH(25,B4:B29,0),3)</f>
        <v>144</v>
      </c>
      <c r="F28" s="10">
        <f>INDEX('10_oferty s.'!B4:G29,MATCH(25,B4:B29,0),4)</f>
        <v>-43</v>
      </c>
      <c r="G28" s="9">
        <f>INDEX('10_oferty s.'!B4:G29,MATCH(25,B4:B29,0),5)</f>
        <v>54</v>
      </c>
      <c r="H28" s="10">
        <f>INDEX('10_oferty s.'!B4:G29,MATCH(25,B4:B29,0),6)</f>
        <v>47</v>
      </c>
    </row>
    <row r="29" spans="2:8" ht="15" x14ac:dyDescent="0.25">
      <c r="B29" s="34">
        <f>RANK('10_oferty s.'!C29,'10_oferty s.'!$C$4:'10_oferty s.'!$C$29,1)+COUNTIF('10_oferty s.'!$C$4:'10_oferty s.'!C29,'10_oferty s.'!C29)-1</f>
        <v>26</v>
      </c>
      <c r="C29" s="35" t="str">
        <f>INDEX('10_oferty s.'!B4:G29,MATCH(26,B4:B29,0),1)</f>
        <v>województwo</v>
      </c>
      <c r="D29" s="34">
        <f>INDEX('10_oferty s.'!B4:G29,MATCH(26,B4:B29,0),2)</f>
        <v>1429</v>
      </c>
      <c r="E29" s="17">
        <f>INDEX('10_oferty s.'!B4:G29,MATCH(26,B4:B29,0),3)</f>
        <v>1698</v>
      </c>
      <c r="F29" s="34">
        <f>INDEX('10_oferty s.'!B4:G29,MATCH(26,B4:B29,0),4)</f>
        <v>-269</v>
      </c>
      <c r="G29" s="17">
        <f>INDEX('10_oferty s.'!B4:G29,MATCH(26,B4:B29,0),5)</f>
        <v>1248</v>
      </c>
      <c r="H29" s="34">
        <f>INDEX('10_oferty s.'!B4:G29,MATCH(26,B4:B29,0),6)</f>
        <v>181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29"/>
  <sheetViews>
    <sheetView zoomScale="90" zoomScaleNormal="90" workbookViewId="0">
      <selection activeCell="C3" sqref="C3"/>
    </sheetView>
  </sheetViews>
  <sheetFormatPr defaultRowHeight="14.25" x14ac:dyDescent="0.2"/>
  <cols>
    <col min="1" max="1" width="2.28515625" style="3" customWidth="1"/>
    <col min="2" max="2" width="23.85546875" style="3" customWidth="1"/>
    <col min="3" max="3" width="13.85546875" style="3" customWidth="1"/>
    <col min="4" max="4" width="14.1406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" style="3" customWidth="1"/>
    <col min="10" max="10" width="13.7109375" style="3" customWidth="1"/>
    <col min="11" max="11" width="10.85546875" style="3" customWidth="1"/>
    <col min="12" max="12" width="10.42578125" style="3" customWidth="1"/>
    <col min="13" max="13" width="5.5703125" style="3" customWidth="1"/>
    <col min="14" max="16384" width="9.140625" style="3"/>
  </cols>
  <sheetData>
    <row r="1" spans="2:12" x14ac:dyDescent="0.2">
      <c r="B1" s="2" t="s">
        <v>80</v>
      </c>
      <c r="I1" s="3" t="s">
        <v>85</v>
      </c>
    </row>
    <row r="2" spans="2:12" ht="75" customHeight="1" x14ac:dyDescent="0.2">
      <c r="B2" s="5" t="s">
        <v>27</v>
      </c>
      <c r="C2" s="6" t="s">
        <v>110</v>
      </c>
      <c r="D2" s="7" t="s">
        <v>101</v>
      </c>
      <c r="E2" s="6" t="s">
        <v>28</v>
      </c>
      <c r="F2" s="7" t="s">
        <v>111</v>
      </c>
      <c r="G2" s="6" t="s">
        <v>26</v>
      </c>
      <c r="I2" s="5" t="s">
        <v>27</v>
      </c>
      <c r="J2" s="6" t="str">
        <f>T('1_bezr.'!C2)</f>
        <v>liczba bezrobotnych ogółem stan na 31 VII '22 r.</v>
      </c>
      <c r="K2" s="6" t="s">
        <v>78</v>
      </c>
      <c r="L2" s="6" t="s">
        <v>95</v>
      </c>
    </row>
    <row r="3" spans="2:12" x14ac:dyDescent="0.2">
      <c r="B3" s="8" t="s">
        <v>0</v>
      </c>
      <c r="C3" s="10">
        <v>535</v>
      </c>
      <c r="D3" s="9">
        <v>555</v>
      </c>
      <c r="E3" s="10">
        <f t="shared" ref="E3:E26" si="0">SUM(C3)-D3</f>
        <v>-20</v>
      </c>
      <c r="F3" s="9">
        <v>598</v>
      </c>
      <c r="G3" s="10">
        <f t="shared" ref="G3:G26" si="1">SUM(C3)-F3</f>
        <v>-63</v>
      </c>
      <c r="I3" s="8" t="s">
        <v>0</v>
      </c>
      <c r="J3" s="10">
        <f>SUM('1_bezr.'!C3)</f>
        <v>1019</v>
      </c>
      <c r="K3" s="10">
        <f>SUM(C3)</f>
        <v>535</v>
      </c>
      <c r="L3" s="36">
        <f t="shared" ref="L3:L28" si="2">SUM(K3)/J3*100</f>
        <v>52.502453385672233</v>
      </c>
    </row>
    <row r="4" spans="2:12" x14ac:dyDescent="0.2">
      <c r="B4" s="8" t="s">
        <v>1</v>
      </c>
      <c r="C4" s="10">
        <v>2111</v>
      </c>
      <c r="D4" s="9">
        <v>2085</v>
      </c>
      <c r="E4" s="10">
        <f t="shared" si="0"/>
        <v>26</v>
      </c>
      <c r="F4" s="9">
        <v>2208</v>
      </c>
      <c r="G4" s="10">
        <f t="shared" si="1"/>
        <v>-97</v>
      </c>
      <c r="I4" s="8" t="s">
        <v>1</v>
      </c>
      <c r="J4" s="10">
        <f>SUM('1_bezr.'!C4)</f>
        <v>3927</v>
      </c>
      <c r="K4" s="10">
        <f t="shared" ref="K4:K27" si="3">SUM(C4)</f>
        <v>2111</v>
      </c>
      <c r="L4" s="36">
        <f t="shared" si="2"/>
        <v>53.756047873694932</v>
      </c>
    </row>
    <row r="5" spans="2:12" x14ac:dyDescent="0.2">
      <c r="B5" s="8" t="s">
        <v>2</v>
      </c>
      <c r="C5" s="10">
        <v>1559</v>
      </c>
      <c r="D5" s="9">
        <v>1534</v>
      </c>
      <c r="E5" s="10">
        <f t="shared" si="0"/>
        <v>25</v>
      </c>
      <c r="F5" s="9">
        <v>1913</v>
      </c>
      <c r="G5" s="10">
        <f t="shared" si="1"/>
        <v>-354</v>
      </c>
      <c r="I5" s="8" t="s">
        <v>2</v>
      </c>
      <c r="J5" s="10">
        <f>SUM('1_bezr.'!C5)</f>
        <v>2426</v>
      </c>
      <c r="K5" s="10">
        <f t="shared" si="3"/>
        <v>1559</v>
      </c>
      <c r="L5" s="36">
        <f t="shared" si="2"/>
        <v>64.262159934047816</v>
      </c>
    </row>
    <row r="6" spans="2:12" x14ac:dyDescent="0.2">
      <c r="B6" s="8" t="s">
        <v>3</v>
      </c>
      <c r="C6" s="10">
        <v>2564</v>
      </c>
      <c r="D6" s="9">
        <v>2541</v>
      </c>
      <c r="E6" s="10">
        <f t="shared" si="0"/>
        <v>23</v>
      </c>
      <c r="F6" s="9">
        <v>3074</v>
      </c>
      <c r="G6" s="10">
        <f t="shared" si="1"/>
        <v>-510</v>
      </c>
      <c r="I6" s="8" t="s">
        <v>3</v>
      </c>
      <c r="J6" s="10">
        <f>SUM('1_bezr.'!C6)</f>
        <v>4643</v>
      </c>
      <c r="K6" s="10">
        <f t="shared" si="3"/>
        <v>2564</v>
      </c>
      <c r="L6" s="36">
        <f t="shared" si="2"/>
        <v>55.222916217962528</v>
      </c>
    </row>
    <row r="7" spans="2:12" x14ac:dyDescent="0.2">
      <c r="B7" s="8" t="s">
        <v>4</v>
      </c>
      <c r="C7" s="10">
        <v>2839</v>
      </c>
      <c r="D7" s="9">
        <v>2833</v>
      </c>
      <c r="E7" s="10">
        <f t="shared" si="0"/>
        <v>6</v>
      </c>
      <c r="F7" s="9">
        <v>3203</v>
      </c>
      <c r="G7" s="10">
        <f t="shared" si="1"/>
        <v>-364</v>
      </c>
      <c r="I7" s="8" t="s">
        <v>4</v>
      </c>
      <c r="J7" s="10">
        <f>SUM('1_bezr.'!C7)</f>
        <v>4746</v>
      </c>
      <c r="K7" s="10">
        <f t="shared" si="3"/>
        <v>2839</v>
      </c>
      <c r="L7" s="36">
        <f t="shared" si="2"/>
        <v>59.818794774546987</v>
      </c>
    </row>
    <row r="8" spans="2:12" x14ac:dyDescent="0.2">
      <c r="B8" s="8" t="s">
        <v>5</v>
      </c>
      <c r="C8" s="10">
        <v>888</v>
      </c>
      <c r="D8" s="9">
        <v>864</v>
      </c>
      <c r="E8" s="10">
        <f t="shared" si="0"/>
        <v>24</v>
      </c>
      <c r="F8" s="9">
        <v>1006</v>
      </c>
      <c r="G8" s="10">
        <f t="shared" si="1"/>
        <v>-118</v>
      </c>
      <c r="I8" s="8" t="s">
        <v>5</v>
      </c>
      <c r="J8" s="10">
        <f>SUM('1_bezr.'!C8)</f>
        <v>1636</v>
      </c>
      <c r="K8" s="10">
        <f t="shared" si="3"/>
        <v>888</v>
      </c>
      <c r="L8" s="36">
        <f>SUM(K8)/J8*100</f>
        <v>54.278728606356964</v>
      </c>
    </row>
    <row r="9" spans="2:12" x14ac:dyDescent="0.2">
      <c r="B9" s="13" t="s">
        <v>6</v>
      </c>
      <c r="C9" s="10">
        <v>1065</v>
      </c>
      <c r="D9" s="9">
        <v>1038</v>
      </c>
      <c r="E9" s="10">
        <f t="shared" si="0"/>
        <v>27</v>
      </c>
      <c r="F9" s="9">
        <v>1271</v>
      </c>
      <c r="G9" s="10">
        <f t="shared" si="1"/>
        <v>-206</v>
      </c>
      <c r="I9" s="13" t="s">
        <v>6</v>
      </c>
      <c r="J9" s="10">
        <f>SUM('1_bezr.'!C9)</f>
        <v>1859</v>
      </c>
      <c r="K9" s="10">
        <f t="shared" si="3"/>
        <v>1065</v>
      </c>
      <c r="L9" s="36">
        <f t="shared" si="2"/>
        <v>57.288864981172672</v>
      </c>
    </row>
    <row r="10" spans="2:12" x14ac:dyDescent="0.2">
      <c r="B10" s="8" t="s">
        <v>7</v>
      </c>
      <c r="C10" s="10">
        <v>721</v>
      </c>
      <c r="D10" s="9">
        <v>722</v>
      </c>
      <c r="E10" s="10">
        <f t="shared" si="0"/>
        <v>-1</v>
      </c>
      <c r="F10" s="9">
        <v>721</v>
      </c>
      <c r="G10" s="10">
        <f t="shared" si="1"/>
        <v>0</v>
      </c>
      <c r="I10" s="8" t="s">
        <v>7</v>
      </c>
      <c r="J10" s="10">
        <f>SUM('1_bezr.'!C10)</f>
        <v>1559</v>
      </c>
      <c r="K10" s="10">
        <f t="shared" si="3"/>
        <v>721</v>
      </c>
      <c r="L10" s="36">
        <f t="shared" si="2"/>
        <v>46.247594611930722</v>
      </c>
    </row>
    <row r="11" spans="2:12" x14ac:dyDescent="0.2">
      <c r="B11" s="8" t="s">
        <v>8</v>
      </c>
      <c r="C11" s="10">
        <v>1643</v>
      </c>
      <c r="D11" s="9">
        <v>1692</v>
      </c>
      <c r="E11" s="10">
        <f t="shared" si="0"/>
        <v>-49</v>
      </c>
      <c r="F11" s="9">
        <v>1920</v>
      </c>
      <c r="G11" s="10">
        <f t="shared" si="1"/>
        <v>-277</v>
      </c>
      <c r="I11" s="8" t="s">
        <v>8</v>
      </c>
      <c r="J11" s="10">
        <f>SUM('1_bezr.'!C11)</f>
        <v>3195</v>
      </c>
      <c r="K11" s="10">
        <f t="shared" si="3"/>
        <v>1643</v>
      </c>
      <c r="L11" s="36">
        <f t="shared" si="2"/>
        <v>51.424100156494525</v>
      </c>
    </row>
    <row r="12" spans="2:12" x14ac:dyDescent="0.2">
      <c r="B12" s="8" t="s">
        <v>9</v>
      </c>
      <c r="C12" s="10">
        <v>768</v>
      </c>
      <c r="D12" s="9">
        <v>764</v>
      </c>
      <c r="E12" s="10">
        <f t="shared" si="0"/>
        <v>4</v>
      </c>
      <c r="F12" s="9">
        <v>946</v>
      </c>
      <c r="G12" s="10">
        <f t="shared" si="1"/>
        <v>-178</v>
      </c>
      <c r="I12" s="8" t="s">
        <v>9</v>
      </c>
      <c r="J12" s="10">
        <f>SUM('1_bezr.'!C12)</f>
        <v>1613</v>
      </c>
      <c r="K12" s="10">
        <f t="shared" si="3"/>
        <v>768</v>
      </c>
      <c r="L12" s="36">
        <f t="shared" si="2"/>
        <v>47.613143211407319</v>
      </c>
    </row>
    <row r="13" spans="2:12" x14ac:dyDescent="0.2">
      <c r="B13" s="8" t="s">
        <v>10</v>
      </c>
      <c r="C13" s="10">
        <v>1469</v>
      </c>
      <c r="D13" s="9">
        <v>1502</v>
      </c>
      <c r="E13" s="10">
        <f t="shared" si="0"/>
        <v>-33</v>
      </c>
      <c r="F13" s="9">
        <v>1766</v>
      </c>
      <c r="G13" s="10">
        <f t="shared" si="1"/>
        <v>-297</v>
      </c>
      <c r="I13" s="8" t="s">
        <v>10</v>
      </c>
      <c r="J13" s="10">
        <f>SUM('1_bezr.'!C13)</f>
        <v>2782</v>
      </c>
      <c r="K13" s="10">
        <f t="shared" si="3"/>
        <v>1469</v>
      </c>
      <c r="L13" s="36">
        <f t="shared" si="2"/>
        <v>52.803738317757009</v>
      </c>
    </row>
    <row r="14" spans="2:12" x14ac:dyDescent="0.2">
      <c r="B14" s="8" t="s">
        <v>11</v>
      </c>
      <c r="C14" s="10">
        <v>1412</v>
      </c>
      <c r="D14" s="9">
        <v>1361</v>
      </c>
      <c r="E14" s="10">
        <f t="shared" si="0"/>
        <v>51</v>
      </c>
      <c r="F14" s="9">
        <v>1772</v>
      </c>
      <c r="G14" s="10">
        <f t="shared" si="1"/>
        <v>-360</v>
      </c>
      <c r="I14" s="8" t="s">
        <v>11</v>
      </c>
      <c r="J14" s="10">
        <f>SUM('1_bezr.'!C14)</f>
        <v>2646</v>
      </c>
      <c r="K14" s="10">
        <f t="shared" si="3"/>
        <v>1412</v>
      </c>
      <c r="L14" s="36">
        <f t="shared" si="2"/>
        <v>53.36356764928194</v>
      </c>
    </row>
    <row r="15" spans="2:12" x14ac:dyDescent="0.2">
      <c r="B15" s="8" t="s">
        <v>12</v>
      </c>
      <c r="C15" s="10">
        <v>1669</v>
      </c>
      <c r="D15" s="9">
        <v>1638</v>
      </c>
      <c r="E15" s="10">
        <f t="shared" si="0"/>
        <v>31</v>
      </c>
      <c r="F15" s="9">
        <v>1822</v>
      </c>
      <c r="G15" s="10">
        <f t="shared" si="1"/>
        <v>-153</v>
      </c>
      <c r="I15" s="8" t="s">
        <v>12</v>
      </c>
      <c r="J15" s="10">
        <f>SUM('1_bezr.'!C15)</f>
        <v>3156</v>
      </c>
      <c r="K15" s="10">
        <f t="shared" si="3"/>
        <v>1669</v>
      </c>
      <c r="L15" s="36">
        <f t="shared" si="2"/>
        <v>52.883396704689481</v>
      </c>
    </row>
    <row r="16" spans="2:12" x14ac:dyDescent="0.2">
      <c r="B16" s="8" t="s">
        <v>13</v>
      </c>
      <c r="C16" s="10">
        <v>1615</v>
      </c>
      <c r="D16" s="9">
        <v>1646</v>
      </c>
      <c r="E16" s="10">
        <f t="shared" si="0"/>
        <v>-31</v>
      </c>
      <c r="F16" s="9">
        <v>1857</v>
      </c>
      <c r="G16" s="10">
        <f t="shared" si="1"/>
        <v>-242</v>
      </c>
      <c r="I16" s="8" t="s">
        <v>13</v>
      </c>
      <c r="J16" s="10">
        <f>SUM('1_bezr.'!C16)</f>
        <v>2975</v>
      </c>
      <c r="K16" s="10">
        <f t="shared" si="3"/>
        <v>1615</v>
      </c>
      <c r="L16" s="36">
        <f t="shared" si="2"/>
        <v>54.285714285714285</v>
      </c>
    </row>
    <row r="17" spans="2:12" x14ac:dyDescent="0.2">
      <c r="B17" s="8" t="s">
        <v>14</v>
      </c>
      <c r="C17" s="10">
        <v>2021</v>
      </c>
      <c r="D17" s="9">
        <v>2024</v>
      </c>
      <c r="E17" s="10">
        <f t="shared" si="0"/>
        <v>-3</v>
      </c>
      <c r="F17" s="9">
        <v>2256</v>
      </c>
      <c r="G17" s="10">
        <f t="shared" si="1"/>
        <v>-235</v>
      </c>
      <c r="I17" s="8" t="s">
        <v>14</v>
      </c>
      <c r="J17" s="10">
        <f>SUM('1_bezr.'!C17)</f>
        <v>3501</v>
      </c>
      <c r="K17" s="10">
        <f t="shared" si="3"/>
        <v>2021</v>
      </c>
      <c r="L17" s="36">
        <f t="shared" si="2"/>
        <v>57.72636389602971</v>
      </c>
    </row>
    <row r="18" spans="2:12" x14ac:dyDescent="0.2">
      <c r="B18" s="8" t="s">
        <v>15</v>
      </c>
      <c r="C18" s="10">
        <v>1656</v>
      </c>
      <c r="D18" s="9">
        <v>1658</v>
      </c>
      <c r="E18" s="10">
        <f t="shared" si="0"/>
        <v>-2</v>
      </c>
      <c r="F18" s="9">
        <v>1864</v>
      </c>
      <c r="G18" s="10">
        <f t="shared" si="1"/>
        <v>-208</v>
      </c>
      <c r="I18" s="8" t="s">
        <v>15</v>
      </c>
      <c r="J18" s="10">
        <f>SUM('1_bezr.'!C18)</f>
        <v>2964</v>
      </c>
      <c r="K18" s="10">
        <f t="shared" si="3"/>
        <v>1656</v>
      </c>
      <c r="L18" s="36">
        <f t="shared" si="2"/>
        <v>55.870445344129557</v>
      </c>
    </row>
    <row r="19" spans="2:12" x14ac:dyDescent="0.2">
      <c r="B19" s="8" t="s">
        <v>16</v>
      </c>
      <c r="C19" s="10">
        <v>2527</v>
      </c>
      <c r="D19" s="9">
        <v>2541</v>
      </c>
      <c r="E19" s="10">
        <f t="shared" si="0"/>
        <v>-14</v>
      </c>
      <c r="F19" s="9">
        <v>3212</v>
      </c>
      <c r="G19" s="10">
        <f t="shared" si="1"/>
        <v>-685</v>
      </c>
      <c r="I19" s="8" t="s">
        <v>16</v>
      </c>
      <c r="J19" s="10">
        <f>SUM('1_bezr.'!C19)</f>
        <v>4884</v>
      </c>
      <c r="K19" s="10">
        <f t="shared" si="3"/>
        <v>2527</v>
      </c>
      <c r="L19" s="36">
        <f t="shared" si="2"/>
        <v>51.740376740376739</v>
      </c>
    </row>
    <row r="20" spans="2:12" x14ac:dyDescent="0.2">
      <c r="B20" s="8" t="s">
        <v>17</v>
      </c>
      <c r="C20" s="10">
        <v>1236</v>
      </c>
      <c r="D20" s="9">
        <v>1209</v>
      </c>
      <c r="E20" s="10">
        <f t="shared" si="0"/>
        <v>27</v>
      </c>
      <c r="F20" s="9">
        <v>1364</v>
      </c>
      <c r="G20" s="10">
        <f t="shared" si="1"/>
        <v>-128</v>
      </c>
      <c r="I20" s="8" t="s">
        <v>17</v>
      </c>
      <c r="J20" s="10">
        <f>SUM('1_bezr.'!C20)</f>
        <v>2415</v>
      </c>
      <c r="K20" s="10">
        <f t="shared" si="3"/>
        <v>1236</v>
      </c>
      <c r="L20" s="36">
        <f t="shared" si="2"/>
        <v>51.180124223602483</v>
      </c>
    </row>
    <row r="21" spans="2:12" x14ac:dyDescent="0.2">
      <c r="B21" s="8" t="s">
        <v>18</v>
      </c>
      <c r="C21" s="10">
        <v>1135</v>
      </c>
      <c r="D21" s="9">
        <v>1091</v>
      </c>
      <c r="E21" s="10">
        <f t="shared" si="0"/>
        <v>44</v>
      </c>
      <c r="F21" s="9">
        <v>1346</v>
      </c>
      <c r="G21" s="10">
        <f t="shared" si="1"/>
        <v>-211</v>
      </c>
      <c r="I21" s="8" t="s">
        <v>18</v>
      </c>
      <c r="J21" s="10">
        <f>SUM('1_bezr.'!C21)</f>
        <v>2003</v>
      </c>
      <c r="K21" s="10">
        <f t="shared" si="3"/>
        <v>1135</v>
      </c>
      <c r="L21" s="36">
        <f t="shared" si="2"/>
        <v>56.66500249625561</v>
      </c>
    </row>
    <row r="22" spans="2:12" x14ac:dyDescent="0.2">
      <c r="B22" s="8" t="s">
        <v>19</v>
      </c>
      <c r="C22" s="10">
        <v>1735</v>
      </c>
      <c r="D22" s="9">
        <v>1755</v>
      </c>
      <c r="E22" s="10">
        <f t="shared" si="0"/>
        <v>-20</v>
      </c>
      <c r="F22" s="9">
        <v>1971</v>
      </c>
      <c r="G22" s="10">
        <f t="shared" si="1"/>
        <v>-236</v>
      </c>
      <c r="I22" s="8" t="s">
        <v>19</v>
      </c>
      <c r="J22" s="10">
        <f>SUM('1_bezr.'!C22)</f>
        <v>3220</v>
      </c>
      <c r="K22" s="10">
        <f t="shared" si="3"/>
        <v>1735</v>
      </c>
      <c r="L22" s="36">
        <f t="shared" si="2"/>
        <v>53.881987577639755</v>
      </c>
    </row>
    <row r="23" spans="2:12" x14ac:dyDescent="0.2">
      <c r="B23" s="8" t="s">
        <v>20</v>
      </c>
      <c r="C23" s="10">
        <v>749</v>
      </c>
      <c r="D23" s="9">
        <v>774</v>
      </c>
      <c r="E23" s="10">
        <f t="shared" si="0"/>
        <v>-25</v>
      </c>
      <c r="F23" s="9">
        <v>884</v>
      </c>
      <c r="G23" s="10">
        <f t="shared" si="1"/>
        <v>-135</v>
      </c>
      <c r="I23" s="8" t="s">
        <v>20</v>
      </c>
      <c r="J23" s="10">
        <f>SUM('1_bezr.'!C23)</f>
        <v>1311</v>
      </c>
      <c r="K23" s="10">
        <f t="shared" si="3"/>
        <v>749</v>
      </c>
      <c r="L23" s="36">
        <f t="shared" si="2"/>
        <v>57.13196033562167</v>
      </c>
    </row>
    <row r="24" spans="2:12" x14ac:dyDescent="0.2">
      <c r="B24" s="8" t="s">
        <v>21</v>
      </c>
      <c r="C24" s="10">
        <v>421</v>
      </c>
      <c r="D24" s="9">
        <v>423</v>
      </c>
      <c r="E24" s="10">
        <f t="shared" si="0"/>
        <v>-2</v>
      </c>
      <c r="F24" s="9">
        <v>437</v>
      </c>
      <c r="G24" s="10">
        <f t="shared" si="1"/>
        <v>-16</v>
      </c>
      <c r="I24" s="8" t="s">
        <v>21</v>
      </c>
      <c r="J24" s="10">
        <f>SUM('1_bezr.'!C24)</f>
        <v>741</v>
      </c>
      <c r="K24" s="10">
        <f t="shared" si="3"/>
        <v>421</v>
      </c>
      <c r="L24" s="36">
        <f t="shared" si="2"/>
        <v>56.815114709851557</v>
      </c>
    </row>
    <row r="25" spans="2:12" x14ac:dyDescent="0.2">
      <c r="B25" s="8" t="s">
        <v>22</v>
      </c>
      <c r="C25" s="10">
        <v>1272</v>
      </c>
      <c r="D25" s="9">
        <v>1322</v>
      </c>
      <c r="E25" s="10">
        <f t="shared" si="0"/>
        <v>-50</v>
      </c>
      <c r="F25" s="9">
        <v>1548</v>
      </c>
      <c r="G25" s="10">
        <f t="shared" si="1"/>
        <v>-276</v>
      </c>
      <c r="I25" s="8" t="s">
        <v>22</v>
      </c>
      <c r="J25" s="10">
        <f>SUM('1_bezr.'!C25)</f>
        <v>2513</v>
      </c>
      <c r="K25" s="10">
        <f t="shared" si="3"/>
        <v>1272</v>
      </c>
      <c r="L25" s="36">
        <f t="shared" si="2"/>
        <v>50.61679267807402</v>
      </c>
    </row>
    <row r="26" spans="2:12" x14ac:dyDescent="0.2">
      <c r="B26" s="8" t="s">
        <v>23</v>
      </c>
      <c r="C26" s="10">
        <v>3075</v>
      </c>
      <c r="D26" s="9">
        <v>3057</v>
      </c>
      <c r="E26" s="10">
        <f t="shared" si="0"/>
        <v>18</v>
      </c>
      <c r="F26" s="9">
        <v>3689</v>
      </c>
      <c r="G26" s="10">
        <f t="shared" si="1"/>
        <v>-614</v>
      </c>
      <c r="I26" s="8" t="s">
        <v>23</v>
      </c>
      <c r="J26" s="10">
        <f>SUM('1_bezr.'!C26)</f>
        <v>5834</v>
      </c>
      <c r="K26" s="10">
        <f t="shared" si="3"/>
        <v>3075</v>
      </c>
      <c r="L26" s="36">
        <f t="shared" si="2"/>
        <v>52.708261912924236</v>
      </c>
    </row>
    <row r="27" spans="2:12" x14ac:dyDescent="0.2">
      <c r="B27" s="8" t="s">
        <v>24</v>
      </c>
      <c r="C27" s="10">
        <v>607</v>
      </c>
      <c r="D27" s="9">
        <v>627</v>
      </c>
      <c r="E27" s="10">
        <f>SUM(C27)-D27</f>
        <v>-20</v>
      </c>
      <c r="F27" s="9">
        <v>786</v>
      </c>
      <c r="G27" s="10">
        <f>SUM(C27)-F27</f>
        <v>-179</v>
      </c>
      <c r="I27" s="8" t="s">
        <v>24</v>
      </c>
      <c r="J27" s="10">
        <f>SUM('1_bezr.'!C27)</f>
        <v>1151</v>
      </c>
      <c r="K27" s="10">
        <f t="shared" si="3"/>
        <v>607</v>
      </c>
      <c r="L27" s="36">
        <f t="shared" si="2"/>
        <v>52.736750651607302</v>
      </c>
    </row>
    <row r="28" spans="2:12" ht="15" x14ac:dyDescent="0.25">
      <c r="B28" s="15" t="s">
        <v>25</v>
      </c>
      <c r="C28" s="16">
        <f>SUM(C3:C27)</f>
        <v>37292</v>
      </c>
      <c r="D28" s="37">
        <f>SUM(D3:D27)</f>
        <v>37256</v>
      </c>
      <c r="E28" s="16">
        <f>SUM(E3:E27)</f>
        <v>36</v>
      </c>
      <c r="F28" s="37">
        <f>SUM(F3:F27)</f>
        <v>43434</v>
      </c>
      <c r="G28" s="16">
        <f>SUM(G3:G27)</f>
        <v>-6142</v>
      </c>
      <c r="I28" s="15" t="s">
        <v>25</v>
      </c>
      <c r="J28" s="16">
        <f>SUM(J3:J27)</f>
        <v>68719</v>
      </c>
      <c r="K28" s="16">
        <f>SUM(K3:K27)</f>
        <v>37292</v>
      </c>
      <c r="L28" s="38">
        <f t="shared" si="2"/>
        <v>54.267378745325168</v>
      </c>
    </row>
    <row r="29" spans="2:12" x14ac:dyDescent="0.2">
      <c r="E29" s="30"/>
    </row>
  </sheetData>
  <printOptions horizontalCentered="1" verticalCentered="1"/>
  <pageMargins left="0" right="0" top="0.31496062992125984" bottom="0" header="0" footer="0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9"/>
  <sheetViews>
    <sheetView zoomScale="90" zoomScaleNormal="9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5.85546875" style="3" customWidth="1"/>
    <col min="3" max="3" width="23.4257812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80</v>
      </c>
    </row>
    <row r="2" spans="2:8" ht="15" x14ac:dyDescent="0.2">
      <c r="C2" s="31"/>
      <c r="D2" s="32"/>
    </row>
    <row r="3" spans="2:8" ht="57" x14ac:dyDescent="0.2">
      <c r="B3" s="33" t="s">
        <v>88</v>
      </c>
      <c r="C3" s="5" t="str">
        <f>T('2_kob.'!B2)</f>
        <v>powiaty</v>
      </c>
      <c r="D3" s="5" t="str">
        <f>T('2_kob.'!C2)</f>
        <v>liczba bezrobotnych kobiet stan na 31 VII '22 r.</v>
      </c>
      <c r="E3" s="5" t="str">
        <f>T('2_kob.'!D2)</f>
        <v>liczba bezrobotnych kobiet stan na 30 VI '22 r.</v>
      </c>
      <c r="F3" s="5" t="str">
        <f>T('2_kob.'!E2)</f>
        <v>wzrost/spadek do poprzedniego  miesiąca</v>
      </c>
      <c r="G3" s="5" t="str">
        <f>T('2_kob.'!F2)</f>
        <v>liczba bezrobotnych kobiet stan na 31 VII '21 r.</v>
      </c>
      <c r="H3" s="5" t="str">
        <f>T('2_kob.'!G2)</f>
        <v>wzrost/spadek do analogicznego okresu ubr.</v>
      </c>
    </row>
    <row r="4" spans="2:8" x14ac:dyDescent="0.2">
      <c r="B4" s="10">
        <f>RANK('2_kob.'!C3,'2_kob.'!$C$3:'2_kob.'!$C$28,1)+COUNTIF('2_kob.'!$C$3:'2_kob.'!C3,'2_kob.'!C3)-1</f>
        <v>2</v>
      </c>
      <c r="C4" s="8" t="str">
        <f>INDEX('2_kob.'!B3:G28,MATCH(1,B4:B29,0),1)</f>
        <v>Krosno</v>
      </c>
      <c r="D4" s="39">
        <f>INDEX('2_kob.'!B3:G28,MATCH(1,B4:B29,0),2)</f>
        <v>421</v>
      </c>
      <c r="E4" s="9">
        <f>INDEX('2_kob.'!B3:G28,MATCH(1,B4:B29,0),3)</f>
        <v>423</v>
      </c>
      <c r="F4" s="10">
        <f>INDEX('2_kob.'!B3:G28,MATCH(1,B4:B29,0),4)</f>
        <v>-2</v>
      </c>
      <c r="G4" s="9">
        <f>INDEX('2_kob.'!B3:G28,MATCH(1,B4:B29,0),5)</f>
        <v>437</v>
      </c>
      <c r="H4" s="10">
        <f>INDEX('2_kob.'!B3:G28,MATCH(1,B4:B29,0),6)</f>
        <v>-16</v>
      </c>
    </row>
    <row r="5" spans="2:8" x14ac:dyDescent="0.2">
      <c r="B5" s="10">
        <f>RANK('2_kob.'!C4,'2_kob.'!$C$3:'2_kob.'!$C$28,1)+COUNTIF('2_kob.'!$C$3:'2_kob.'!C4,'2_kob.'!C4)-1</f>
        <v>21</v>
      </c>
      <c r="C5" s="8" t="str">
        <f>INDEX('2_kob.'!B3:G28,MATCH(2,B4:B29,0),1)</f>
        <v>bieszczadzki</v>
      </c>
      <c r="D5" s="10">
        <f>INDEX('2_kob.'!B3:G28,MATCH(2,B4:B29,0),2)</f>
        <v>535</v>
      </c>
      <c r="E5" s="9">
        <f>INDEX('2_kob.'!B3:G28,MATCH(2,B4:B29,0),3)</f>
        <v>555</v>
      </c>
      <c r="F5" s="10">
        <f>INDEX('2_kob.'!B3:G28,MATCH(2,B4:B29,0),4)</f>
        <v>-20</v>
      </c>
      <c r="G5" s="9">
        <f>INDEX('2_kob.'!B3:G28,MATCH(2,B4:B29,0),5)</f>
        <v>598</v>
      </c>
      <c r="H5" s="10">
        <f>INDEX('2_kob.'!B3:G28,MATCH(2,B4:B29,0),6)</f>
        <v>-63</v>
      </c>
    </row>
    <row r="6" spans="2:8" x14ac:dyDescent="0.2">
      <c r="B6" s="10">
        <f>RANK('2_kob.'!C5,'2_kob.'!$C$3:'2_kob.'!$C$28,1)+COUNTIF('2_kob.'!$C$3:'2_kob.'!C5,'2_kob.'!C5)-1</f>
        <v>14</v>
      </c>
      <c r="C6" s="8" t="str">
        <f>INDEX('2_kob.'!B3:G28,MATCH(3,B4:B29,0),1)</f>
        <v>Tarnobrzeg</v>
      </c>
      <c r="D6" s="10">
        <f>INDEX('2_kob.'!B3:G28,MATCH(3,B4:B29,0),2)</f>
        <v>607</v>
      </c>
      <c r="E6" s="9">
        <f>INDEX('2_kob.'!B3:G28,MATCH(3,B4:B29,0),3)</f>
        <v>627</v>
      </c>
      <c r="F6" s="10">
        <f>INDEX('2_kob.'!B3:G28,MATCH(3,B4:B29,0),4)</f>
        <v>-20</v>
      </c>
      <c r="G6" s="9">
        <f>INDEX('2_kob.'!B3:G28,MATCH(3,B4:B29,0),5)</f>
        <v>786</v>
      </c>
      <c r="H6" s="10">
        <f>INDEX('2_kob.'!B3:G28,MATCH(3,B4:B29,0),6)</f>
        <v>-179</v>
      </c>
    </row>
    <row r="7" spans="2:8" x14ac:dyDescent="0.2">
      <c r="B7" s="10">
        <f>RANK('2_kob.'!C6,'2_kob.'!$C$3:'2_kob.'!$C$28,1)+COUNTIF('2_kob.'!$C$3:'2_kob.'!C6,'2_kob.'!C6)-1</f>
        <v>23</v>
      </c>
      <c r="C7" s="8" t="str">
        <f>INDEX('2_kob.'!B3:G28,MATCH(4,B4:B29,0),1)</f>
        <v>leski</v>
      </c>
      <c r="D7" s="10">
        <f>INDEX('2_kob.'!B3:G28,MATCH(4,B4:B29,0),2)</f>
        <v>721</v>
      </c>
      <c r="E7" s="9">
        <f>INDEX('2_kob.'!B3:G28,MATCH(4,B4:B29,0),3)</f>
        <v>722</v>
      </c>
      <c r="F7" s="10">
        <f>INDEX('2_kob.'!B3:G28,MATCH(4,B4:B29,0),4)</f>
        <v>-1</v>
      </c>
      <c r="G7" s="9">
        <f>INDEX('2_kob.'!B3:G28,MATCH(4,B4:B29,0),5)</f>
        <v>721</v>
      </c>
      <c r="H7" s="10">
        <f>INDEX('2_kob.'!B3:G28,MATCH(4,B4:B29,0),6)</f>
        <v>0</v>
      </c>
    </row>
    <row r="8" spans="2:8" x14ac:dyDescent="0.2">
      <c r="B8" s="10">
        <f>RANK('2_kob.'!C7,'2_kob.'!$C$3:'2_kob.'!$C$28,1)+COUNTIF('2_kob.'!$C$3:'2_kob.'!C7,'2_kob.'!C7)-1</f>
        <v>24</v>
      </c>
      <c r="C8" s="8" t="str">
        <f>INDEX('2_kob.'!B3:G28,MATCH(5,B4:B29,0),1)</f>
        <v xml:space="preserve">tarnobrzeski </v>
      </c>
      <c r="D8" s="10">
        <f>INDEX('2_kob.'!B3:G28,MATCH(5,B4:B29,0),2)</f>
        <v>749</v>
      </c>
      <c r="E8" s="9">
        <f>INDEX('2_kob.'!B3:G28,MATCH(5,B4:B29,0),3)</f>
        <v>774</v>
      </c>
      <c r="F8" s="10">
        <f>INDEX('2_kob.'!B3:G28,MATCH(5,B4:B29,0),4)</f>
        <v>-25</v>
      </c>
      <c r="G8" s="9">
        <f>INDEX('2_kob.'!B3:G28,MATCH(5,B4:B29,0),5)</f>
        <v>884</v>
      </c>
      <c r="H8" s="10">
        <f>INDEX('2_kob.'!B3:G28,MATCH(5,B4:B29,0),6)</f>
        <v>-135</v>
      </c>
    </row>
    <row r="9" spans="2:8" x14ac:dyDescent="0.2">
      <c r="B9" s="10">
        <f>RANK('2_kob.'!C8,'2_kob.'!$C$3:'2_kob.'!$C$28,1)+COUNTIF('2_kob.'!$C$3:'2_kob.'!C8,'2_kob.'!C8)-1</f>
        <v>7</v>
      </c>
      <c r="C9" s="8" t="str">
        <f>INDEX('2_kob.'!B3:G28,MATCH(6,B4:B29,0),1)</f>
        <v>lubaczowski</v>
      </c>
      <c r="D9" s="10">
        <f>INDEX('2_kob.'!B3:G28,MATCH(6,B4:B29,0),2)</f>
        <v>768</v>
      </c>
      <c r="E9" s="9">
        <f>INDEX('2_kob.'!B3:G28,MATCH(6,B4:B29,0),3)</f>
        <v>764</v>
      </c>
      <c r="F9" s="10">
        <f>INDEX('2_kob.'!B3:G28,MATCH(6,B4:B29,0),4)</f>
        <v>4</v>
      </c>
      <c r="G9" s="9">
        <f>INDEX('2_kob.'!B3:G28,MATCH(6,B4:B29,0),5)</f>
        <v>946</v>
      </c>
      <c r="H9" s="10">
        <f>INDEX('2_kob.'!B3:G28,MATCH(6,B4:B29,0),6)</f>
        <v>-178</v>
      </c>
    </row>
    <row r="10" spans="2:8" x14ac:dyDescent="0.2">
      <c r="B10" s="10">
        <f>RANK('2_kob.'!C9,'2_kob.'!$C$3:'2_kob.'!$C$28,1)+COUNTIF('2_kob.'!$C$3:'2_kob.'!C9,'2_kob.'!C9)-1</f>
        <v>8</v>
      </c>
      <c r="C10" s="13" t="str">
        <f>INDEX('2_kob.'!B3:G28,MATCH(7,B4:B29,0),1)</f>
        <v>kolbuszowski</v>
      </c>
      <c r="D10" s="10">
        <f>INDEX('2_kob.'!B3:G28,MATCH(7,B4:B29,0),2)</f>
        <v>888</v>
      </c>
      <c r="E10" s="9">
        <f>INDEX('2_kob.'!B3:G28,MATCH(7,B4:B29,0),3)</f>
        <v>864</v>
      </c>
      <c r="F10" s="10">
        <f>INDEX('2_kob.'!B3:G28,MATCH(7,B4:B29,0),4)</f>
        <v>24</v>
      </c>
      <c r="G10" s="9">
        <f>INDEX('2_kob.'!B3:G28,MATCH(7,B4:B29,0),5)</f>
        <v>1006</v>
      </c>
      <c r="H10" s="10">
        <f>INDEX('2_kob.'!B3:G28,MATCH(7,B4:B29,0),6)</f>
        <v>-118</v>
      </c>
    </row>
    <row r="11" spans="2:8" x14ac:dyDescent="0.2">
      <c r="B11" s="10">
        <f>RANK('2_kob.'!C10,'2_kob.'!$C$3:'2_kob.'!$C$28,1)+COUNTIF('2_kob.'!$C$3:'2_kob.'!C10,'2_kob.'!C10)-1</f>
        <v>4</v>
      </c>
      <c r="C11" s="8" t="str">
        <f>INDEX('2_kob.'!B3:G28,MATCH(8,B4:B29,0),1)</f>
        <v>krośnieński</v>
      </c>
      <c r="D11" s="10">
        <f>INDEX('2_kob.'!B3:G28,MATCH(8,B4:B29,0),2)</f>
        <v>1065</v>
      </c>
      <c r="E11" s="9">
        <f>INDEX('2_kob.'!B3:G28,MATCH(8,B4:B29,0),3)</f>
        <v>1038</v>
      </c>
      <c r="F11" s="10">
        <f>INDEX('2_kob.'!B3:G28,MATCH(8,B4:B29,0),4)</f>
        <v>27</v>
      </c>
      <c r="G11" s="9">
        <f>INDEX('2_kob.'!B3:G28,MATCH(8,B4:B29,0),5)</f>
        <v>1271</v>
      </c>
      <c r="H11" s="10">
        <f>INDEX('2_kob.'!B3:G28,MATCH(8,B4:B29,0),6)</f>
        <v>-206</v>
      </c>
    </row>
    <row r="12" spans="2:8" x14ac:dyDescent="0.2">
      <c r="B12" s="10">
        <f>RANK('2_kob.'!C11,'2_kob.'!$C$3:'2_kob.'!$C$28,1)+COUNTIF('2_kob.'!$C$3:'2_kob.'!C11,'2_kob.'!C11)-1</f>
        <v>16</v>
      </c>
      <c r="C12" s="8" t="str">
        <f>INDEX('2_kob.'!B3:G28,MATCH(9,B4:B29,0),1)</f>
        <v>stalowowolski</v>
      </c>
      <c r="D12" s="10">
        <f>INDEX('2_kob.'!B3:G28,MATCH(9,B4:B29,0),2)</f>
        <v>1135</v>
      </c>
      <c r="E12" s="9">
        <f>INDEX('2_kob.'!B3:G28,MATCH(9,B4:B29,0),3)</f>
        <v>1091</v>
      </c>
      <c r="F12" s="10">
        <f>INDEX('2_kob.'!B3:G28,MATCH(9,B4:B29,0),4)</f>
        <v>44</v>
      </c>
      <c r="G12" s="9">
        <f>INDEX('2_kob.'!B3:G28,MATCH(9,B4:B29,0),5)</f>
        <v>1346</v>
      </c>
      <c r="H12" s="10">
        <f>INDEX('2_kob.'!B3:G28,MATCH(9,B4:B29,0),6)</f>
        <v>-211</v>
      </c>
    </row>
    <row r="13" spans="2:8" x14ac:dyDescent="0.2">
      <c r="B13" s="10">
        <f>RANK('2_kob.'!C12,'2_kob.'!$C$3:'2_kob.'!$C$28,1)+COUNTIF('2_kob.'!$C$3:'2_kob.'!C12,'2_kob.'!C12)-1</f>
        <v>6</v>
      </c>
      <c r="C13" s="8" t="str">
        <f>INDEX('2_kob.'!B3:G28,MATCH(10,B4:B29,0),1)</f>
        <v>sanocki</v>
      </c>
      <c r="D13" s="10">
        <f>INDEX('2_kob.'!B3:G28,MATCH(10,B4:B29,0),2)</f>
        <v>1236</v>
      </c>
      <c r="E13" s="9">
        <f>INDEX('2_kob.'!B3:G28,MATCH(10,B4:B29,0),3)</f>
        <v>1209</v>
      </c>
      <c r="F13" s="10">
        <f>INDEX('2_kob.'!B3:G28,MATCH(10,B4:B29,0),4)</f>
        <v>27</v>
      </c>
      <c r="G13" s="9">
        <f>INDEX('2_kob.'!B3:G28,MATCH(10,B4:B29,0),5)</f>
        <v>1364</v>
      </c>
      <c r="H13" s="10">
        <f>INDEX('2_kob.'!B3:G28,MATCH(10,B4:B29,0),6)</f>
        <v>-128</v>
      </c>
    </row>
    <row r="14" spans="2:8" x14ac:dyDescent="0.2">
      <c r="B14" s="10">
        <f>RANK('2_kob.'!C13,'2_kob.'!$C$3:'2_kob.'!$C$28,1)+COUNTIF('2_kob.'!$C$3:'2_kob.'!C13,'2_kob.'!C13)-1</f>
        <v>13</v>
      </c>
      <c r="C14" s="8" t="str">
        <f>INDEX('2_kob.'!B3:G28,MATCH(11,B4:B29,0),1)</f>
        <v>Przemyśl</v>
      </c>
      <c r="D14" s="10">
        <f>INDEX('2_kob.'!B3:G28,MATCH(11,B4:B29,0),2)</f>
        <v>1272</v>
      </c>
      <c r="E14" s="9">
        <f>INDEX('2_kob.'!B3:G28,MATCH(11,B4:B29,0),3)</f>
        <v>1322</v>
      </c>
      <c r="F14" s="10">
        <f>INDEX('2_kob.'!B3:G28,MATCH(11,B4:B29,0),4)</f>
        <v>-50</v>
      </c>
      <c r="G14" s="9">
        <f>INDEX('2_kob.'!B3:G28,MATCH(11,B4:B29,0),5)</f>
        <v>1548</v>
      </c>
      <c r="H14" s="10">
        <f>INDEX('2_kob.'!B3:G28,MATCH(11,B4:B29,0),6)</f>
        <v>-276</v>
      </c>
    </row>
    <row r="15" spans="2:8" x14ac:dyDescent="0.2">
      <c r="B15" s="10">
        <f>RANK('2_kob.'!C14,'2_kob.'!$C$3:'2_kob.'!$C$28,1)+COUNTIF('2_kob.'!$C$3:'2_kob.'!C14,'2_kob.'!C14)-1</f>
        <v>12</v>
      </c>
      <c r="C15" s="8" t="str">
        <f>INDEX('2_kob.'!B3:G28,MATCH(12,B4:B29,0),1)</f>
        <v>mielecki</v>
      </c>
      <c r="D15" s="10">
        <f>INDEX('2_kob.'!B3:G28,MATCH(12,B4:B29,0),2)</f>
        <v>1412</v>
      </c>
      <c r="E15" s="9">
        <f>INDEX('2_kob.'!B3:G28,MATCH(12,B4:B29,0),3)</f>
        <v>1361</v>
      </c>
      <c r="F15" s="10">
        <f>INDEX('2_kob.'!B3:G28,MATCH(12,B4:B29,0),4)</f>
        <v>51</v>
      </c>
      <c r="G15" s="9">
        <f>INDEX('2_kob.'!B3:G28,MATCH(12,B4:B29,0),5)</f>
        <v>1772</v>
      </c>
      <c r="H15" s="10">
        <f>INDEX('2_kob.'!B3:G28,MATCH(12,B4:B29,0),6)</f>
        <v>-360</v>
      </c>
    </row>
    <row r="16" spans="2:8" x14ac:dyDescent="0.2">
      <c r="B16" s="10">
        <f>RANK('2_kob.'!C15,'2_kob.'!$C$3:'2_kob.'!$C$28,1)+COUNTIF('2_kob.'!$C$3:'2_kob.'!C15,'2_kob.'!C15)-1</f>
        <v>18</v>
      </c>
      <c r="C16" s="8" t="str">
        <f>INDEX('2_kob.'!B3:G28,MATCH(13,B4:B29,0),1)</f>
        <v>łańcucki</v>
      </c>
      <c r="D16" s="10">
        <f>INDEX('2_kob.'!B3:G28,MATCH(13,B4:B29,0),2)</f>
        <v>1469</v>
      </c>
      <c r="E16" s="9">
        <f>INDEX('2_kob.'!B3:G28,MATCH(13,B4:B29,0),3)</f>
        <v>1502</v>
      </c>
      <c r="F16" s="10">
        <f>INDEX('2_kob.'!B3:G28,MATCH(13,B4:B29,0),4)</f>
        <v>-33</v>
      </c>
      <c r="G16" s="9">
        <f>INDEX('2_kob.'!B3:G28,MATCH(13,B4:B29,0),5)</f>
        <v>1766</v>
      </c>
      <c r="H16" s="10">
        <f>INDEX('2_kob.'!B3:G28,MATCH(13,B4:B29,0),6)</f>
        <v>-297</v>
      </c>
    </row>
    <row r="17" spans="2:8" x14ac:dyDescent="0.2">
      <c r="B17" s="10">
        <f>RANK('2_kob.'!C16,'2_kob.'!$C$3:'2_kob.'!$C$28,1)+COUNTIF('2_kob.'!$C$3:'2_kob.'!C16,'2_kob.'!C16)-1</f>
        <v>15</v>
      </c>
      <c r="C17" s="8" t="str">
        <f>INDEX('2_kob.'!B3:G28,MATCH(14,B4:B29,0),1)</f>
        <v>dębicki</v>
      </c>
      <c r="D17" s="10">
        <f>INDEX('2_kob.'!B3:G28,MATCH(14,B4:B29,0),2)</f>
        <v>1559</v>
      </c>
      <c r="E17" s="9">
        <f>INDEX('2_kob.'!B3:G28,MATCH(14,B4:B29,0),3)</f>
        <v>1534</v>
      </c>
      <c r="F17" s="10">
        <f>INDEX('2_kob.'!B3:G28,MATCH(14,B4:B29,0),4)</f>
        <v>25</v>
      </c>
      <c r="G17" s="9">
        <f>INDEX('2_kob.'!B3:G28,MATCH(14,B4:B29,0),5)</f>
        <v>1913</v>
      </c>
      <c r="H17" s="10">
        <f>INDEX('2_kob.'!B3:G28,MATCH(14,B4:B29,0),6)</f>
        <v>-354</v>
      </c>
    </row>
    <row r="18" spans="2:8" x14ac:dyDescent="0.2">
      <c r="B18" s="10">
        <f>RANK('2_kob.'!C17,'2_kob.'!$C$3:'2_kob.'!$C$28,1)+COUNTIF('2_kob.'!$C$3:'2_kob.'!C17,'2_kob.'!C17)-1</f>
        <v>20</v>
      </c>
      <c r="C18" s="8" t="str">
        <f>INDEX('2_kob.'!B3:G28,MATCH(15,B4:B29,0),1)</f>
        <v>przemyski</v>
      </c>
      <c r="D18" s="10">
        <f>INDEX('2_kob.'!B3:G28,MATCH(15,B4:B29,0),2)</f>
        <v>1615</v>
      </c>
      <c r="E18" s="9">
        <f>INDEX('2_kob.'!B3:G28,MATCH(15,B4:B29,0),3)</f>
        <v>1646</v>
      </c>
      <c r="F18" s="10">
        <f>INDEX('2_kob.'!B3:G28,MATCH(15,B4:B29,0),4)</f>
        <v>-31</v>
      </c>
      <c r="G18" s="9">
        <f>INDEX('2_kob.'!B3:G28,MATCH(15,B4:B29,0),5)</f>
        <v>1857</v>
      </c>
      <c r="H18" s="10">
        <f>INDEX('2_kob.'!B3:G28,MATCH(15,B4:B29,0),6)</f>
        <v>-242</v>
      </c>
    </row>
    <row r="19" spans="2:8" x14ac:dyDescent="0.2">
      <c r="B19" s="10">
        <f>RANK('2_kob.'!C18,'2_kob.'!$C$3:'2_kob.'!$C$28,1)+COUNTIF('2_kob.'!$C$3:'2_kob.'!C18,'2_kob.'!C18)-1</f>
        <v>17</v>
      </c>
      <c r="C19" s="8" t="str">
        <f>INDEX('2_kob.'!B3:G28,MATCH(16,B4:B29,0),1)</f>
        <v>leżajski</v>
      </c>
      <c r="D19" s="10">
        <f>INDEX('2_kob.'!B3:G28,MATCH(16,B4:B29,0),2)</f>
        <v>1643</v>
      </c>
      <c r="E19" s="9">
        <f>INDEX('2_kob.'!B3:G28,MATCH(16,B4:B29,0),3)</f>
        <v>1692</v>
      </c>
      <c r="F19" s="10">
        <f>INDEX('2_kob.'!B3:G28,MATCH(16,B4:B29,0),4)</f>
        <v>-49</v>
      </c>
      <c r="G19" s="9">
        <f>INDEX('2_kob.'!B3:G28,MATCH(16,B4:B29,0),5)</f>
        <v>1920</v>
      </c>
      <c r="H19" s="10">
        <f>INDEX('2_kob.'!B3:G28,MATCH(16,B4:B29,0),6)</f>
        <v>-277</v>
      </c>
    </row>
    <row r="20" spans="2:8" x14ac:dyDescent="0.2">
      <c r="B20" s="10">
        <f>RANK('2_kob.'!C19,'2_kob.'!$C$3:'2_kob.'!$C$28,1)+COUNTIF('2_kob.'!$C$3:'2_kob.'!C19,'2_kob.'!C19)-1</f>
        <v>22</v>
      </c>
      <c r="C20" s="8" t="str">
        <f>INDEX('2_kob.'!B3:G28,MATCH(17,B4:B29,0),1)</f>
        <v>ropczycko-sędziszowski</v>
      </c>
      <c r="D20" s="10">
        <f>INDEX('2_kob.'!B3:G28,MATCH(17,B4:B29,0),2)</f>
        <v>1656</v>
      </c>
      <c r="E20" s="9">
        <f>INDEX('2_kob.'!B3:G28,MATCH(17,B4:B29,0),3)</f>
        <v>1658</v>
      </c>
      <c r="F20" s="10">
        <f>INDEX('2_kob.'!B3:G28,MATCH(17,B4:B29,0),4)</f>
        <v>-2</v>
      </c>
      <c r="G20" s="9">
        <f>INDEX('2_kob.'!B3:G28,MATCH(17,B4:B29,0),5)</f>
        <v>1864</v>
      </c>
      <c r="H20" s="10">
        <f>INDEX('2_kob.'!B3:G28,MATCH(17,B4:B29,0),6)</f>
        <v>-208</v>
      </c>
    </row>
    <row r="21" spans="2:8" x14ac:dyDescent="0.2">
      <c r="B21" s="10">
        <f>RANK('2_kob.'!C20,'2_kob.'!$C$3:'2_kob.'!$C$28,1)+COUNTIF('2_kob.'!$C$3:'2_kob.'!C20,'2_kob.'!C20)-1</f>
        <v>10</v>
      </c>
      <c r="C21" s="8" t="str">
        <f>INDEX('2_kob.'!B3:G28,MATCH(18,B4:B29,0),1)</f>
        <v>niżański</v>
      </c>
      <c r="D21" s="10">
        <f>INDEX('2_kob.'!B3:G28,MATCH(18,B4:B29,0),2)</f>
        <v>1669</v>
      </c>
      <c r="E21" s="9">
        <f>INDEX('2_kob.'!B3:G28,MATCH(18,B4:B29,0),3)</f>
        <v>1638</v>
      </c>
      <c r="F21" s="10">
        <f>INDEX('2_kob.'!B3:G28,MATCH(18,B4:B29,0),4)</f>
        <v>31</v>
      </c>
      <c r="G21" s="9">
        <f>INDEX('2_kob.'!B3:G28,MATCH(18,B4:B29,0),5)</f>
        <v>1822</v>
      </c>
      <c r="H21" s="10">
        <f>INDEX('2_kob.'!B3:G28,MATCH(18,B4:B29,0),6)</f>
        <v>-153</v>
      </c>
    </row>
    <row r="22" spans="2:8" x14ac:dyDescent="0.2">
      <c r="B22" s="10">
        <f>RANK('2_kob.'!C21,'2_kob.'!$C$3:'2_kob.'!$C$28,1)+COUNTIF('2_kob.'!$C$3:'2_kob.'!C21,'2_kob.'!C21)-1</f>
        <v>9</v>
      </c>
      <c r="C22" s="8" t="str">
        <f>INDEX('2_kob.'!B3:G28,MATCH(19,B4:B29,0),1)</f>
        <v>strzyżowski</v>
      </c>
      <c r="D22" s="10">
        <f>INDEX('2_kob.'!B3:G28,MATCH(19,B4:B29,0),2)</f>
        <v>1735</v>
      </c>
      <c r="E22" s="9">
        <f>INDEX('2_kob.'!B3:G28,MATCH(19,B4:B29,0),3)</f>
        <v>1755</v>
      </c>
      <c r="F22" s="10">
        <f>INDEX('2_kob.'!B3:G28,MATCH(19,B4:B29,0),4)</f>
        <v>-20</v>
      </c>
      <c r="G22" s="9">
        <f>INDEX('2_kob.'!B3:G28,MATCH(19,B4:B29,0),5)</f>
        <v>1971</v>
      </c>
      <c r="H22" s="10">
        <f>INDEX('2_kob.'!B3:G28,MATCH(19,B4:B29,0),6)</f>
        <v>-236</v>
      </c>
    </row>
    <row r="23" spans="2:8" x14ac:dyDescent="0.2">
      <c r="B23" s="10">
        <f>RANK('2_kob.'!C22,'2_kob.'!$C$3:'2_kob.'!$C$28,1)+COUNTIF('2_kob.'!$C$3:'2_kob.'!C22,'2_kob.'!C22)-1</f>
        <v>19</v>
      </c>
      <c r="C23" s="8" t="str">
        <f>INDEX('2_kob.'!B3:G28,MATCH(20,B4:B29,0),1)</f>
        <v>przeworski</v>
      </c>
      <c r="D23" s="10">
        <f>INDEX('2_kob.'!B3:G28,MATCH(20,B4:B29,0),2)</f>
        <v>2021</v>
      </c>
      <c r="E23" s="9">
        <f>INDEX('2_kob.'!B3:G28,MATCH(20,B4:B29,0),3)</f>
        <v>2024</v>
      </c>
      <c r="F23" s="10">
        <f>INDEX('2_kob.'!B3:G28,MATCH(20,B4:B29,0),4)</f>
        <v>-3</v>
      </c>
      <c r="G23" s="9">
        <f>INDEX('2_kob.'!B3:G28,MATCH(20,B4:B29,0),5)</f>
        <v>2256</v>
      </c>
      <c r="H23" s="10">
        <f>INDEX('2_kob.'!B3:G28,MATCH(20,B4:B29,0),6)</f>
        <v>-235</v>
      </c>
    </row>
    <row r="24" spans="2:8" x14ac:dyDescent="0.2">
      <c r="B24" s="10">
        <f>RANK('2_kob.'!C23,'2_kob.'!$C$3:'2_kob.'!$C$28,1)+COUNTIF('2_kob.'!$C$3:'2_kob.'!C23,'2_kob.'!C23)-1</f>
        <v>5</v>
      </c>
      <c r="C24" s="8" t="str">
        <f>INDEX('2_kob.'!B3:G28,MATCH(21,B4:B29,0),1)</f>
        <v>brzozowski</v>
      </c>
      <c r="D24" s="10">
        <f>INDEX('2_kob.'!B3:G28,MATCH(21,B4:B29,0),2)</f>
        <v>2111</v>
      </c>
      <c r="E24" s="9">
        <f>INDEX('2_kob.'!B3:G28,MATCH(21,B4:B29,0),3)</f>
        <v>2085</v>
      </c>
      <c r="F24" s="10">
        <f>INDEX('2_kob.'!B3:G28,MATCH(21,B4:B29,0),4)</f>
        <v>26</v>
      </c>
      <c r="G24" s="9">
        <f>INDEX('2_kob.'!B3:G28,MATCH(21,B4:B29,0),5)</f>
        <v>2208</v>
      </c>
      <c r="H24" s="10">
        <f>INDEX('2_kob.'!B3:G28,MATCH(21,B4:B29,0),6)</f>
        <v>-97</v>
      </c>
    </row>
    <row r="25" spans="2:8" x14ac:dyDescent="0.2">
      <c r="B25" s="10">
        <f>RANK('2_kob.'!C24,'2_kob.'!$C$3:'2_kob.'!$C$28,1)+COUNTIF('2_kob.'!$C$3:'2_kob.'!C24,'2_kob.'!C24)-1</f>
        <v>1</v>
      </c>
      <c r="C25" s="8" t="str">
        <f>INDEX('2_kob.'!B3:G28,MATCH(22,B4:B29,0),1)</f>
        <v>rzeszowski</v>
      </c>
      <c r="D25" s="10">
        <f>INDEX('2_kob.'!B3:G28,MATCH(22,B4:B29,0),2)</f>
        <v>2527</v>
      </c>
      <c r="E25" s="9">
        <f>INDEX('2_kob.'!B3:G28,MATCH(22,B4:B29,0),3)</f>
        <v>2541</v>
      </c>
      <c r="F25" s="10">
        <f>INDEX('2_kob.'!B3:G28,MATCH(22,B4:B29,0),4)</f>
        <v>-14</v>
      </c>
      <c r="G25" s="9">
        <f>INDEX('2_kob.'!B3:G28,MATCH(22,B4:B29,0),5)</f>
        <v>3212</v>
      </c>
      <c r="H25" s="10">
        <f>INDEX('2_kob.'!B3:G28,MATCH(22,B4:B29,0),6)</f>
        <v>-685</v>
      </c>
    </row>
    <row r="26" spans="2:8" x14ac:dyDescent="0.2">
      <c r="B26" s="10">
        <f>RANK('2_kob.'!C25,'2_kob.'!$C$3:'2_kob.'!$C$28,1)+COUNTIF('2_kob.'!$C$3:'2_kob.'!C25,'2_kob.'!C25)-1</f>
        <v>11</v>
      </c>
      <c r="C26" s="8" t="str">
        <f>INDEX('2_kob.'!B3:G28,MATCH(23,B4:B29,0),1)</f>
        <v>jarosławski</v>
      </c>
      <c r="D26" s="10">
        <f>INDEX('2_kob.'!B3:G28,MATCH(23,B4:B29,0),2)</f>
        <v>2564</v>
      </c>
      <c r="E26" s="9">
        <f>INDEX('2_kob.'!B3:G28,MATCH(23,B4:B29,0),3)</f>
        <v>2541</v>
      </c>
      <c r="F26" s="10">
        <f>INDEX('2_kob.'!B3:G28,MATCH(23,B4:B29,0),4)</f>
        <v>23</v>
      </c>
      <c r="G26" s="9">
        <f>INDEX('2_kob.'!B3:G28,MATCH(23,B4:B29,0),5)</f>
        <v>3074</v>
      </c>
      <c r="H26" s="10">
        <f>INDEX('2_kob.'!B3:G28,MATCH(23,B4:B29,0),6)</f>
        <v>-510</v>
      </c>
    </row>
    <row r="27" spans="2:8" x14ac:dyDescent="0.2">
      <c r="B27" s="10">
        <f>RANK('2_kob.'!C26,'2_kob.'!$C$3:'2_kob.'!$C$28,1)+COUNTIF('2_kob.'!$C$3:'2_kob.'!C26,'2_kob.'!C26)-1</f>
        <v>25</v>
      </c>
      <c r="C27" s="8" t="str">
        <f>INDEX('2_kob.'!B3:G28,MATCH(24,B4:B29,0),1)</f>
        <v>jasielski</v>
      </c>
      <c r="D27" s="10">
        <f>INDEX('2_kob.'!B3:G28,MATCH(24,B4:B29,0),2)</f>
        <v>2839</v>
      </c>
      <c r="E27" s="9">
        <f>INDEX('2_kob.'!B3:G28,MATCH(24,B4:B29,0),3)</f>
        <v>2833</v>
      </c>
      <c r="F27" s="10">
        <f>INDEX('2_kob.'!B3:G28,MATCH(24,B4:B29,0),4)</f>
        <v>6</v>
      </c>
      <c r="G27" s="9">
        <f>INDEX('2_kob.'!B3:G28,MATCH(24,B4:B29,0),5)</f>
        <v>3203</v>
      </c>
      <c r="H27" s="10">
        <f>INDEX('2_kob.'!B3:G28,MATCH(24,B4:B29,0),6)</f>
        <v>-364</v>
      </c>
    </row>
    <row r="28" spans="2:8" x14ac:dyDescent="0.2">
      <c r="B28" s="10">
        <f>RANK('2_kob.'!C27,'2_kob.'!$C$3:'2_kob.'!$C$28,1)+COUNTIF('2_kob.'!$C$3:'2_kob.'!C27,'2_kob.'!C27)-1</f>
        <v>3</v>
      </c>
      <c r="C28" s="8" t="str">
        <f>INDEX('2_kob.'!B3:G28,MATCH(25,B4:B29,0),1)</f>
        <v>Rzeszów</v>
      </c>
      <c r="D28" s="10">
        <f>INDEX('2_kob.'!B3:G28,MATCH(25,B4:B29,0),2)</f>
        <v>3075</v>
      </c>
      <c r="E28" s="9">
        <f>INDEX('2_kob.'!B3:G28,MATCH(25,B4:B29,0),3)</f>
        <v>3057</v>
      </c>
      <c r="F28" s="10">
        <f>INDEX('2_kob.'!B3:G28,MATCH(25,B4:B29,0),4)</f>
        <v>18</v>
      </c>
      <c r="G28" s="9">
        <f>INDEX('2_kob.'!B3:G28,MATCH(25,B4:B29,0),5)</f>
        <v>3689</v>
      </c>
      <c r="H28" s="10">
        <f>INDEX('2_kob.'!B3:G28,MATCH(25,B4:B29,0),6)</f>
        <v>-614</v>
      </c>
    </row>
    <row r="29" spans="2:8" ht="15" x14ac:dyDescent="0.25">
      <c r="B29" s="34">
        <f>RANK('2_kob.'!C28,'2_kob.'!$C$3:'2_kob.'!$C$28,1)+COUNTIF('2_kob.'!$C$3:'2_kob.'!C28,'2_kob.'!C28)-1</f>
        <v>26</v>
      </c>
      <c r="C29" s="35" t="str">
        <f>INDEX('2_kob.'!B3:G28,MATCH(26,B4:B29,0),1)</f>
        <v>województwo</v>
      </c>
      <c r="D29" s="34">
        <f>INDEX('2_kob.'!B3:G28,MATCH(26,B4:B29,0),2)</f>
        <v>37292</v>
      </c>
      <c r="E29" s="17">
        <f>INDEX('2_kob.'!B3:G28,MATCH(26,B4:B29,0),3)</f>
        <v>37256</v>
      </c>
      <c r="F29" s="34">
        <f>INDEX('2_kob.'!B3:G28,MATCH(26,B4:B29,0),4)</f>
        <v>36</v>
      </c>
      <c r="G29" s="17">
        <f>INDEX('2_kob.'!B3:G28,MATCH(26,B4:B29,0),5)</f>
        <v>43434</v>
      </c>
      <c r="H29" s="34">
        <f>INDEX('2_kob.'!B3:G28,MATCH(26,B4:B29,0),6)</f>
        <v>-6142</v>
      </c>
    </row>
  </sheetData>
  <pageMargins left="0" right="0" top="0.31496062992125984" bottom="0" header="0" footer="0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1"/>
  <sheetViews>
    <sheetView zoomScaleNormal="100" workbookViewId="0">
      <selection activeCell="B1" sqref="B1"/>
    </sheetView>
  </sheetViews>
  <sheetFormatPr defaultRowHeight="14.25" x14ac:dyDescent="0.2"/>
  <cols>
    <col min="1" max="1" width="3.28515625" style="39" customWidth="1"/>
    <col min="2" max="2" width="33.42578125" style="3" customWidth="1"/>
    <col min="3" max="3" width="16.140625" style="3" customWidth="1"/>
    <col min="4" max="4" width="15.5703125" style="3" customWidth="1"/>
    <col min="5" max="5" width="15.28515625" style="3" customWidth="1"/>
    <col min="6" max="6" width="16.42578125" style="3" customWidth="1"/>
    <col min="7" max="7" width="14.7109375" style="3" customWidth="1"/>
    <col min="8" max="8" width="9.140625" style="39"/>
    <col min="9" max="16384" width="9.140625" style="3"/>
  </cols>
  <sheetData>
    <row r="1" spans="1:8" ht="15" customHeight="1" x14ac:dyDescent="0.2">
      <c r="B1" s="2" t="s">
        <v>89</v>
      </c>
    </row>
    <row r="2" spans="1:8" ht="71.25" x14ac:dyDescent="0.2">
      <c r="B2" s="40" t="s">
        <v>27</v>
      </c>
      <c r="C2" s="40" t="s">
        <v>112</v>
      </c>
      <c r="D2" s="41" t="s">
        <v>102</v>
      </c>
      <c r="E2" s="40" t="s">
        <v>81</v>
      </c>
      <c r="F2" s="41" t="s">
        <v>113</v>
      </c>
      <c r="G2" s="40" t="s">
        <v>82</v>
      </c>
    </row>
    <row r="3" spans="1:8" ht="15" x14ac:dyDescent="0.2">
      <c r="A3" s="39">
        <v>1</v>
      </c>
      <c r="B3" s="42" t="s">
        <v>33</v>
      </c>
      <c r="C3" s="43">
        <v>4.9000000000000004</v>
      </c>
      <c r="D3" s="44">
        <v>4.9000000000000004</v>
      </c>
      <c r="E3" s="43">
        <f t="shared" ref="E3:E19" si="0">SUM(C3)-D3</f>
        <v>0</v>
      </c>
      <c r="F3" s="45">
        <v>5.9</v>
      </c>
      <c r="G3" s="43">
        <f t="shared" ref="G3:G19" si="1">SUM(C3)-F3</f>
        <v>-1</v>
      </c>
      <c r="H3" s="46"/>
    </row>
    <row r="4" spans="1:8" x14ac:dyDescent="0.2">
      <c r="A4" s="39">
        <v>2</v>
      </c>
      <c r="B4" s="47" t="s">
        <v>34</v>
      </c>
      <c r="C4" s="48">
        <v>4.3</v>
      </c>
      <c r="D4" s="49">
        <v>4.4000000000000004</v>
      </c>
      <c r="E4" s="48">
        <f t="shared" si="0"/>
        <v>-0.10000000000000053</v>
      </c>
      <c r="F4" s="49">
        <v>5.3</v>
      </c>
      <c r="G4" s="48">
        <f t="shared" si="1"/>
        <v>-1</v>
      </c>
      <c r="H4" s="46"/>
    </row>
    <row r="5" spans="1:8" x14ac:dyDescent="0.2">
      <c r="A5" s="39">
        <v>3</v>
      </c>
      <c r="B5" s="47" t="s">
        <v>35</v>
      </c>
      <c r="C5" s="50">
        <v>6.8</v>
      </c>
      <c r="D5" s="49">
        <v>6.9</v>
      </c>
      <c r="E5" s="50">
        <f t="shared" si="0"/>
        <v>-0.10000000000000053</v>
      </c>
      <c r="F5" s="49">
        <v>8.1999999999999993</v>
      </c>
      <c r="G5" s="48">
        <f t="shared" si="1"/>
        <v>-1.3999999999999995</v>
      </c>
      <c r="H5" s="46"/>
    </row>
    <row r="6" spans="1:8" x14ac:dyDescent="0.2">
      <c r="A6" s="39">
        <v>4</v>
      </c>
      <c r="B6" s="47" t="s">
        <v>36</v>
      </c>
      <c r="C6" s="48">
        <v>6.6</v>
      </c>
      <c r="D6" s="49">
        <v>6.6</v>
      </c>
      <c r="E6" s="48">
        <f t="shared" si="0"/>
        <v>0</v>
      </c>
      <c r="F6" s="49">
        <v>7.6</v>
      </c>
      <c r="G6" s="48">
        <f t="shared" si="1"/>
        <v>-1</v>
      </c>
      <c r="H6" s="46"/>
    </row>
    <row r="7" spans="1:8" x14ac:dyDescent="0.2">
      <c r="A7" s="39">
        <v>5</v>
      </c>
      <c r="B7" s="47" t="s">
        <v>37</v>
      </c>
      <c r="C7" s="48">
        <v>4.2</v>
      </c>
      <c r="D7" s="49">
        <v>4.2</v>
      </c>
      <c r="E7" s="48">
        <f t="shared" si="0"/>
        <v>0</v>
      </c>
      <c r="F7" s="49">
        <v>5.6</v>
      </c>
      <c r="G7" s="48">
        <f t="shared" si="1"/>
        <v>-1.3999999999999995</v>
      </c>
      <c r="H7" s="46"/>
    </row>
    <row r="8" spans="1:8" x14ac:dyDescent="0.2">
      <c r="A8" s="39">
        <v>6</v>
      </c>
      <c r="B8" s="47" t="s">
        <v>38</v>
      </c>
      <c r="C8" s="48">
        <v>5.3</v>
      </c>
      <c r="D8" s="49">
        <v>5.3</v>
      </c>
      <c r="E8" s="48">
        <f t="shared" si="0"/>
        <v>0</v>
      </c>
      <c r="F8" s="49">
        <v>6.1</v>
      </c>
      <c r="G8" s="48">
        <f t="shared" si="1"/>
        <v>-0.79999999999999982</v>
      </c>
      <c r="H8" s="46"/>
    </row>
    <row r="9" spans="1:8" x14ac:dyDescent="0.2">
      <c r="A9" s="39">
        <v>7</v>
      </c>
      <c r="B9" s="47" t="s">
        <v>39</v>
      </c>
      <c r="C9" s="48">
        <v>4.0999999999999996</v>
      </c>
      <c r="D9" s="49">
        <v>4.0999999999999996</v>
      </c>
      <c r="E9" s="48">
        <f t="shared" si="0"/>
        <v>0</v>
      </c>
      <c r="F9" s="49">
        <v>4.9000000000000004</v>
      </c>
      <c r="G9" s="48">
        <f t="shared" si="1"/>
        <v>-0.80000000000000071</v>
      </c>
      <c r="H9" s="46"/>
    </row>
    <row r="10" spans="1:8" x14ac:dyDescent="0.2">
      <c r="A10" s="39">
        <v>8</v>
      </c>
      <c r="B10" s="47" t="s">
        <v>40</v>
      </c>
      <c r="C10" s="48">
        <v>4.2</v>
      </c>
      <c r="D10" s="49">
        <v>4.3</v>
      </c>
      <c r="E10" s="48">
        <f t="shared" si="0"/>
        <v>-9.9999999999999645E-2</v>
      </c>
      <c r="F10" s="49">
        <v>4.9000000000000004</v>
      </c>
      <c r="G10" s="48">
        <f t="shared" si="1"/>
        <v>-0.70000000000000018</v>
      </c>
      <c r="H10" s="46"/>
    </row>
    <row r="11" spans="1:8" x14ac:dyDescent="0.2">
      <c r="A11" s="39">
        <v>9</v>
      </c>
      <c r="B11" s="47" t="s">
        <v>41</v>
      </c>
      <c r="C11" s="48">
        <v>5.6</v>
      </c>
      <c r="D11" s="49">
        <v>5.6</v>
      </c>
      <c r="E11" s="48">
        <f t="shared" si="0"/>
        <v>0</v>
      </c>
      <c r="F11" s="49">
        <v>6.4</v>
      </c>
      <c r="G11" s="48">
        <f t="shared" si="1"/>
        <v>-0.80000000000000071</v>
      </c>
      <c r="H11" s="46"/>
    </row>
    <row r="12" spans="1:8" ht="15" x14ac:dyDescent="0.2">
      <c r="A12" s="39">
        <v>10</v>
      </c>
      <c r="B12" s="42" t="s">
        <v>42</v>
      </c>
      <c r="C12" s="43">
        <v>7.3</v>
      </c>
      <c r="D12" s="45">
        <v>7.3</v>
      </c>
      <c r="E12" s="43">
        <f t="shared" si="0"/>
        <v>0</v>
      </c>
      <c r="F12" s="45">
        <v>8.5</v>
      </c>
      <c r="G12" s="43">
        <f t="shared" si="1"/>
        <v>-1.2000000000000002</v>
      </c>
      <c r="H12" s="46"/>
    </row>
    <row r="13" spans="1:8" x14ac:dyDescent="0.2">
      <c r="A13" s="39">
        <v>11</v>
      </c>
      <c r="B13" s="47" t="s">
        <v>43</v>
      </c>
      <c r="C13" s="48">
        <v>6.5</v>
      </c>
      <c r="D13" s="49">
        <v>6.5</v>
      </c>
      <c r="E13" s="48">
        <f t="shared" si="0"/>
        <v>0</v>
      </c>
      <c r="F13" s="49">
        <v>7.4</v>
      </c>
      <c r="G13" s="48">
        <f t="shared" si="1"/>
        <v>-0.90000000000000036</v>
      </c>
      <c r="H13" s="46"/>
    </row>
    <row r="14" spans="1:8" x14ac:dyDescent="0.2">
      <c r="A14" s="39">
        <v>12</v>
      </c>
      <c r="B14" s="47" t="s">
        <v>44</v>
      </c>
      <c r="C14" s="48">
        <v>4.3</v>
      </c>
      <c r="D14" s="49">
        <v>4.4000000000000004</v>
      </c>
      <c r="E14" s="48">
        <f t="shared" si="0"/>
        <v>-0.10000000000000053</v>
      </c>
      <c r="F14" s="49">
        <v>5.7</v>
      </c>
      <c r="G14" s="48">
        <f t="shared" si="1"/>
        <v>-1.4000000000000004</v>
      </c>
      <c r="H14" s="46"/>
    </row>
    <row r="15" spans="1:8" x14ac:dyDescent="0.2">
      <c r="A15" s="39">
        <v>13</v>
      </c>
      <c r="B15" s="47" t="s">
        <v>45</v>
      </c>
      <c r="C15" s="48">
        <v>3.7</v>
      </c>
      <c r="D15" s="49">
        <v>3.8</v>
      </c>
      <c r="E15" s="48">
        <f t="shared" si="0"/>
        <v>-9.9999999999999645E-2</v>
      </c>
      <c r="F15" s="49">
        <v>4.8</v>
      </c>
      <c r="G15" s="48">
        <f t="shared" si="1"/>
        <v>-1.0999999999999996</v>
      </c>
      <c r="H15" s="46"/>
    </row>
    <row r="16" spans="1:8" x14ac:dyDescent="0.2">
      <c r="A16" s="39">
        <v>14</v>
      </c>
      <c r="B16" s="47" t="s">
        <v>46</v>
      </c>
      <c r="C16" s="48">
        <v>6.5</v>
      </c>
      <c r="D16" s="49">
        <v>6.5</v>
      </c>
      <c r="E16" s="48">
        <f t="shared" si="0"/>
        <v>0</v>
      </c>
      <c r="F16" s="49">
        <v>7.8</v>
      </c>
      <c r="G16" s="48">
        <f t="shared" si="1"/>
        <v>-1.2999999999999998</v>
      </c>
      <c r="H16" s="46"/>
    </row>
    <row r="17" spans="1:8" x14ac:dyDescent="0.2">
      <c r="A17" s="39">
        <v>15</v>
      </c>
      <c r="B17" s="47" t="s">
        <v>47</v>
      </c>
      <c r="C17" s="48">
        <v>7.6</v>
      </c>
      <c r="D17" s="49">
        <v>7.6</v>
      </c>
      <c r="E17" s="48">
        <f t="shared" si="0"/>
        <v>0</v>
      </c>
      <c r="F17" s="49">
        <v>9</v>
      </c>
      <c r="G17" s="48">
        <f t="shared" si="1"/>
        <v>-1.4000000000000004</v>
      </c>
      <c r="H17" s="46"/>
    </row>
    <row r="18" spans="1:8" x14ac:dyDescent="0.2">
      <c r="A18" s="39">
        <v>16</v>
      </c>
      <c r="B18" s="47" t="s">
        <v>48</v>
      </c>
      <c r="C18" s="48">
        <v>2.7</v>
      </c>
      <c r="D18" s="49">
        <v>2.7</v>
      </c>
      <c r="E18" s="48">
        <f t="shared" si="0"/>
        <v>0</v>
      </c>
      <c r="F18" s="49">
        <v>3.5</v>
      </c>
      <c r="G18" s="48">
        <f t="shared" si="1"/>
        <v>-0.79999999999999982</v>
      </c>
      <c r="H18" s="46"/>
    </row>
    <row r="19" spans="1:8" x14ac:dyDescent="0.2">
      <c r="A19" s="39">
        <v>17</v>
      </c>
      <c r="B19" s="47" t="s">
        <v>49</v>
      </c>
      <c r="C19" s="48">
        <v>6.3</v>
      </c>
      <c r="D19" s="49">
        <v>6.4</v>
      </c>
      <c r="E19" s="48">
        <f t="shared" si="0"/>
        <v>-0.10000000000000053</v>
      </c>
      <c r="F19" s="49">
        <v>7.7</v>
      </c>
      <c r="G19" s="48">
        <f t="shared" si="1"/>
        <v>-1.4000000000000004</v>
      </c>
      <c r="H19" s="46"/>
    </row>
    <row r="20" spans="1:8" ht="12.75" customHeight="1" x14ac:dyDescent="0.2">
      <c r="B20" s="80" t="s">
        <v>92</v>
      </c>
    </row>
    <row r="21" spans="1:8" ht="13.5" customHeight="1" x14ac:dyDescent="0.2"/>
  </sheetData>
  <sortState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1"/>
  <sheetViews>
    <sheetView zoomScale="90" zoomScaleNormal="9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6.7109375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89</v>
      </c>
    </row>
    <row r="2" spans="1:8" ht="15" x14ac:dyDescent="0.2">
      <c r="C2" s="31"/>
      <c r="D2" s="32"/>
    </row>
    <row r="3" spans="1:8" ht="71.25" x14ac:dyDescent="0.2">
      <c r="B3" s="33" t="s">
        <v>88</v>
      </c>
      <c r="C3" s="5" t="str">
        <f>T('3_s.bezr.Polska'!B2)</f>
        <v>powiaty</v>
      </c>
      <c r="D3" s="5" t="str">
        <f>T('3_s.bezr.Polska'!C2)</f>
        <v>Stopa bezrobocia stan na 31 VII '22 r. (w proc.)**</v>
      </c>
      <c r="E3" s="5" t="str">
        <f>T('3_s.bezr.Polska'!D2)</f>
        <v>Stopa bezrobocia stan na 30 VI '22 r. (w proc.)**</v>
      </c>
      <c r="F3" s="41" t="str">
        <f>T('3_s.bezr.Polska'!E2)</f>
        <v>wzrost lub spadek do poprzedniego miesiąca (pkt. proc.)</v>
      </c>
      <c r="G3" s="5" t="str">
        <f>T('3_s.bezr.Polska'!F2)</f>
        <v>Stopa bezrobocia stan na 31 VII '21 r. (w proc.) **</v>
      </c>
      <c r="H3" s="41" t="str">
        <f>T('3_s.bezr.Polska'!G2)</f>
        <v>wzrost lub spadek do analogicznego okresu ubr. (pkt. proc.)</v>
      </c>
    </row>
    <row r="4" spans="1:8" x14ac:dyDescent="0.2">
      <c r="A4" s="3">
        <v>1</v>
      </c>
      <c r="B4" s="10">
        <f>RANK('3_s.bezr.Polska'!C3,'3_s.bezr.Polska'!$C$3:'3_s.bezr.Polska'!$C$19,1)+COUNTIF('3_s.bezr.Polska'!$C$3:'3_s.bezr.Polska'!C3,'3_s.bezr.Polska'!C3)-1</f>
        <v>8</v>
      </c>
      <c r="C4" s="8" t="str">
        <f>INDEX('3_s.bezr.Polska'!B3:G19,MATCH(1,B4:B20,0),1)</f>
        <v>WIELKOPOLSKIE</v>
      </c>
      <c r="D4" s="46">
        <f>INDEX('3_s.bezr.Polska'!B3:G19,MATCH(1,B4:B20,0),2)</f>
        <v>2.7</v>
      </c>
      <c r="E4" s="50">
        <f>INDEX('3_s.bezr.Polska'!B3:G19,MATCH(1,B4:B20,0),3)</f>
        <v>2.7</v>
      </c>
      <c r="F4" s="49">
        <f>INDEX('3_s.bezr.Polska'!B3:G19,MATCH(1,B4:B20,0),4)</f>
        <v>0</v>
      </c>
      <c r="G4" s="50">
        <f>INDEX('3_s.bezr.Polska'!B3:G19,MATCH(1,B4:B20,0),5)</f>
        <v>3.5</v>
      </c>
      <c r="H4" s="49">
        <f>INDEX('3_s.bezr.Polska'!B3:G19,MATCH(1,B4:B20,0),6)</f>
        <v>-0.79999999999999982</v>
      </c>
    </row>
    <row r="5" spans="1:8" x14ac:dyDescent="0.2">
      <c r="A5" s="3">
        <v>2</v>
      </c>
      <c r="B5" s="10">
        <f>RANK('3_s.bezr.Polska'!C4,'3_s.bezr.Polska'!$C$3:'3_s.bezr.Polska'!$C$19,1)+COUNTIF('3_s.bezr.Polska'!$C$3:'3_s.bezr.Polska'!C4,'3_s.bezr.Polska'!C4)-1</f>
        <v>6</v>
      </c>
      <c r="C5" s="8" t="str">
        <f>INDEX('3_s.bezr.Polska'!B3:G19,MATCH(2,B4:B20,0),1)</f>
        <v>ŚLĄSKIE</v>
      </c>
      <c r="D5" s="12">
        <f>INDEX('3_s.bezr.Polska'!B3:G19,MATCH(2,B4:B20,0),2)</f>
        <v>3.7</v>
      </c>
      <c r="E5" s="50">
        <f>INDEX('3_s.bezr.Polska'!B3:G19,MATCH(2,B4:B20,0),3)</f>
        <v>3.8</v>
      </c>
      <c r="F5" s="49">
        <f>INDEX('3_s.bezr.Polska'!B3:G19,MATCH(2,B4:B20,0),4)</f>
        <v>-9.9999999999999645E-2</v>
      </c>
      <c r="G5" s="50">
        <f>INDEX('3_s.bezr.Polska'!B3:G19,MATCH(2,B4:B20,0),5)</f>
        <v>4.8</v>
      </c>
      <c r="H5" s="49">
        <f>INDEX('3_s.bezr.Polska'!B3:G19,MATCH(2,B4:B20,0),6)</f>
        <v>-1.0999999999999996</v>
      </c>
    </row>
    <row r="6" spans="1:8" x14ac:dyDescent="0.2">
      <c r="A6" s="3">
        <v>3</v>
      </c>
      <c r="B6" s="10">
        <f>RANK('3_s.bezr.Polska'!C5,'3_s.bezr.Polska'!$C$3:'3_s.bezr.Polska'!$C$19,1)+COUNTIF('3_s.bezr.Polska'!$C$3:'3_s.bezr.Polska'!C5,'3_s.bezr.Polska'!C5)-1</f>
        <v>15</v>
      </c>
      <c r="C6" s="8" t="str">
        <f>INDEX('3_s.bezr.Polska'!B3:G19,MATCH(3,B4:B20,0),1)</f>
        <v>MAŁOPOLSKIE</v>
      </c>
      <c r="D6" s="12">
        <f>INDEX('3_s.bezr.Polska'!B3:G19,MATCH(3,B4:B20,0),2)</f>
        <v>4.0999999999999996</v>
      </c>
      <c r="E6" s="50">
        <f>INDEX('3_s.bezr.Polska'!B3:G19,MATCH(3,B4:B20,0),3)</f>
        <v>4.0999999999999996</v>
      </c>
      <c r="F6" s="49">
        <f>INDEX('3_s.bezr.Polska'!B3:G19,MATCH(3,B4:B20,0),4)</f>
        <v>0</v>
      </c>
      <c r="G6" s="50">
        <f>INDEX('3_s.bezr.Polska'!B3:G19,MATCH(3,B4:B20,0),5)</f>
        <v>4.9000000000000004</v>
      </c>
      <c r="H6" s="49">
        <f>INDEX('3_s.bezr.Polska'!B3:G19,MATCH(3,B4:B20,0),6)</f>
        <v>-0.80000000000000071</v>
      </c>
    </row>
    <row r="7" spans="1:8" x14ac:dyDescent="0.2">
      <c r="A7" s="3">
        <v>4</v>
      </c>
      <c r="B7" s="10">
        <f>RANK('3_s.bezr.Polska'!C6,'3_s.bezr.Polska'!$C$3:'3_s.bezr.Polska'!$C$19,1)+COUNTIF('3_s.bezr.Polska'!$C$3:'3_s.bezr.Polska'!C6,'3_s.bezr.Polska'!C6)-1</f>
        <v>14</v>
      </c>
      <c r="C7" s="8" t="str">
        <f>INDEX('3_s.bezr.Polska'!B3:G19,MATCH(4,B4:B20,0),1)</f>
        <v>LUBUSKIE</v>
      </c>
      <c r="D7" s="12">
        <f>INDEX('3_s.bezr.Polska'!B3:G19,MATCH(4,B4:B20,0),2)</f>
        <v>4.2</v>
      </c>
      <c r="E7" s="50">
        <f>INDEX('3_s.bezr.Polska'!B3:G19,MATCH(4,B4:B20,0),3)</f>
        <v>4.2</v>
      </c>
      <c r="F7" s="49">
        <f>INDEX('3_s.bezr.Polska'!B3:G19,MATCH(4,B4:B20,0),4)</f>
        <v>0</v>
      </c>
      <c r="G7" s="50">
        <f>INDEX('3_s.bezr.Polska'!B3:G19,MATCH(4,B4:B20,0),5)</f>
        <v>5.6</v>
      </c>
      <c r="H7" s="49">
        <f>INDEX('3_s.bezr.Polska'!B3:G19,MATCH(4,B4:B20,0),6)</f>
        <v>-1.3999999999999995</v>
      </c>
    </row>
    <row r="8" spans="1:8" x14ac:dyDescent="0.2">
      <c r="A8" s="3">
        <v>5</v>
      </c>
      <c r="B8" s="10">
        <f>RANK('3_s.bezr.Polska'!C7,'3_s.bezr.Polska'!$C$3:'3_s.bezr.Polska'!$C$19,1)+COUNTIF('3_s.bezr.Polska'!$C$3:'3_s.bezr.Polska'!C7,'3_s.bezr.Polska'!C7)-1</f>
        <v>4</v>
      </c>
      <c r="C8" s="8" t="str">
        <f>INDEX('3_s.bezr.Polska'!B3:G19,MATCH(5,B4:B20,0),1)</f>
        <v>MAZOWIECKIE</v>
      </c>
      <c r="D8" s="12">
        <f>INDEX('3_s.bezr.Polska'!B3:G19,MATCH(5,B4:B20,0),2)</f>
        <v>4.2</v>
      </c>
      <c r="E8" s="50">
        <f>INDEX('3_s.bezr.Polska'!B3:G19,MATCH(5,B4:B20,0),3)</f>
        <v>4.3</v>
      </c>
      <c r="F8" s="49">
        <f>INDEX('3_s.bezr.Polska'!B3:G19,MATCH(5,B4:B20,0),4)</f>
        <v>-9.9999999999999645E-2</v>
      </c>
      <c r="G8" s="50">
        <f>INDEX('3_s.bezr.Polska'!B3:G19,MATCH(5,B4:B20,0),5)</f>
        <v>4.9000000000000004</v>
      </c>
      <c r="H8" s="49">
        <f>INDEX('3_s.bezr.Polska'!B3:G19,MATCH(5,B4:B20,0),6)</f>
        <v>-0.70000000000000018</v>
      </c>
    </row>
    <row r="9" spans="1:8" x14ac:dyDescent="0.2">
      <c r="A9" s="3">
        <v>6</v>
      </c>
      <c r="B9" s="10">
        <f>RANK('3_s.bezr.Polska'!C8,'3_s.bezr.Polska'!$C$3:'3_s.bezr.Polska'!$C$19,1)+COUNTIF('3_s.bezr.Polska'!$C$3:'3_s.bezr.Polska'!C8,'3_s.bezr.Polska'!C8)-1</f>
        <v>9</v>
      </c>
      <c r="C9" s="8" t="str">
        <f>INDEX('3_s.bezr.Polska'!B3:G19,MATCH(6,B4:B20,0),1)</f>
        <v>DOLNOŚLĄSKIE</v>
      </c>
      <c r="D9" s="12">
        <f>INDEX('3_s.bezr.Polska'!B3:G19,MATCH(6,B4:B20,0),2)</f>
        <v>4.3</v>
      </c>
      <c r="E9" s="50">
        <f>INDEX('3_s.bezr.Polska'!B3:G19,MATCH(6,B4:B20,0),3)</f>
        <v>4.4000000000000004</v>
      </c>
      <c r="F9" s="49">
        <f>INDEX('3_s.bezr.Polska'!B3:G19,MATCH(6,B4:B20,0),4)</f>
        <v>-0.10000000000000053</v>
      </c>
      <c r="G9" s="50">
        <f>INDEX('3_s.bezr.Polska'!B3:G19,MATCH(6,B4:B20,0),5)</f>
        <v>5.3</v>
      </c>
      <c r="H9" s="49">
        <f>INDEX('3_s.bezr.Polska'!B3:G19,MATCH(6,B4:B20,0),6)</f>
        <v>-1</v>
      </c>
    </row>
    <row r="10" spans="1:8" x14ac:dyDescent="0.2">
      <c r="A10" s="3">
        <v>7</v>
      </c>
      <c r="B10" s="10">
        <f>RANK('3_s.bezr.Polska'!C9,'3_s.bezr.Polska'!$C$3:'3_s.bezr.Polska'!$C$19,1)+COUNTIF('3_s.bezr.Polska'!$C$3:'3_s.bezr.Polska'!C9,'3_s.bezr.Polska'!C9)-1</f>
        <v>3</v>
      </c>
      <c r="C10" s="13" t="str">
        <f>INDEX('3_s.bezr.Polska'!B3:G19,MATCH(7,B4:B20,0),1)</f>
        <v>POMORSKIE</v>
      </c>
      <c r="D10" s="12">
        <f>INDEX('3_s.bezr.Polska'!B3:G19,MATCH(7,B4:B20,0),2)</f>
        <v>4.3</v>
      </c>
      <c r="E10" s="50">
        <f>INDEX('3_s.bezr.Polska'!B3:G19,MATCH(7,B4:B20,0),3)</f>
        <v>4.4000000000000004</v>
      </c>
      <c r="F10" s="49">
        <f>INDEX('3_s.bezr.Polska'!B3:G19,MATCH(7,B4:B20,0),4)</f>
        <v>-0.10000000000000053</v>
      </c>
      <c r="G10" s="50">
        <f>INDEX('3_s.bezr.Polska'!B3:G19,MATCH(7,B4:B20,0),5)</f>
        <v>5.7</v>
      </c>
      <c r="H10" s="49">
        <f>INDEX('3_s.bezr.Polska'!B3:G19,MATCH(7,B4:B20,0),6)</f>
        <v>-1.4000000000000004</v>
      </c>
    </row>
    <row r="11" spans="1:8" ht="15" x14ac:dyDescent="0.25">
      <c r="A11" s="3">
        <v>8</v>
      </c>
      <c r="B11" s="34">
        <f>RANK('3_s.bezr.Polska'!C10,'3_s.bezr.Polska'!$C$3:'3_s.bezr.Polska'!$C$19,1)+COUNTIF('3_s.bezr.Polska'!$C$3:'3_s.bezr.Polska'!C10,'3_s.bezr.Polska'!C10)-1</f>
        <v>5</v>
      </c>
      <c r="C11" s="69" t="str">
        <f>INDEX('3_s.bezr.Polska'!B3:G19,MATCH(8,B4:B20,0),1)</f>
        <v>POLSKA</v>
      </c>
      <c r="D11" s="61">
        <f>INDEX('3_s.bezr.Polska'!B3:G19,MATCH(8,B4:B20,0),2)</f>
        <v>4.9000000000000004</v>
      </c>
      <c r="E11" s="81">
        <f>INDEX('3_s.bezr.Polska'!B3:G19,MATCH(8,B4:B20,0),3)</f>
        <v>4.9000000000000004</v>
      </c>
      <c r="F11" s="45">
        <f>INDEX('3_s.bezr.Polska'!B3:G19,MATCH(8,B4:B20,0),4)</f>
        <v>0</v>
      </c>
      <c r="G11" s="81">
        <f>INDEX('3_s.bezr.Polska'!B3:G19,MATCH(8,B4:B20,0),5)</f>
        <v>5.9</v>
      </c>
      <c r="H11" s="45">
        <f>INDEX('3_s.bezr.Polska'!B3:G19,MATCH(8,B4:B20,0),6)</f>
        <v>-1</v>
      </c>
    </row>
    <row r="12" spans="1:8" x14ac:dyDescent="0.2">
      <c r="A12" s="3">
        <v>9</v>
      </c>
      <c r="B12" s="10">
        <f>RANK('3_s.bezr.Polska'!C11,'3_s.bezr.Polska'!$C$3:'3_s.bezr.Polska'!$C$19,1)+COUNTIF('3_s.bezr.Polska'!$C$3:'3_s.bezr.Polska'!C11,'3_s.bezr.Polska'!C11)-1</f>
        <v>10</v>
      </c>
      <c r="C12" s="8" t="str">
        <f>INDEX('3_s.bezr.Polska'!B3:G19,MATCH(9,B4:B20,0),1)</f>
        <v>ŁÓDZKIE</v>
      </c>
      <c r="D12" s="12">
        <f>INDEX('3_s.bezr.Polska'!B3:G19,MATCH(9,B4:B20,0),2)</f>
        <v>5.3</v>
      </c>
      <c r="E12" s="50">
        <f>INDEX('3_s.bezr.Polska'!B3:G19,MATCH(9,B4:B20,0),3)</f>
        <v>5.3</v>
      </c>
      <c r="F12" s="49">
        <f>INDEX('3_s.bezr.Polska'!B3:G19,MATCH(9,B4:B20,0),4)</f>
        <v>0</v>
      </c>
      <c r="G12" s="50">
        <f>INDEX('3_s.bezr.Polska'!B3:G19,MATCH(9,B4:B20,0),5)</f>
        <v>6.1</v>
      </c>
      <c r="H12" s="49">
        <f>INDEX('3_s.bezr.Polska'!B3:G19,MATCH(9,B4:B20,0),6)</f>
        <v>-0.79999999999999982</v>
      </c>
    </row>
    <row r="13" spans="1:8" x14ac:dyDescent="0.2">
      <c r="A13" s="3">
        <v>10</v>
      </c>
      <c r="B13" s="10">
        <f>RANK('3_s.bezr.Polska'!C12,'3_s.bezr.Polska'!$C$3:'3_s.bezr.Polska'!$C$19,1)+COUNTIF('3_s.bezr.Polska'!$C$3:'3_s.bezr.Polska'!C12,'3_s.bezr.Polska'!C12)-1</f>
        <v>16</v>
      </c>
      <c r="C13" s="8" t="str">
        <f>INDEX('3_s.bezr.Polska'!B3:G19,MATCH(10,B4:B20,0),1)</f>
        <v>OPOLSKIE</v>
      </c>
      <c r="D13" s="12">
        <f>INDEX('3_s.bezr.Polska'!B3:G19,MATCH(10,B4:B20,0),2)</f>
        <v>5.6</v>
      </c>
      <c r="E13" s="50">
        <f>INDEX('3_s.bezr.Polska'!B3:G19,MATCH(10,B4:B20,0),3)</f>
        <v>5.6</v>
      </c>
      <c r="F13" s="49">
        <f>INDEX('3_s.bezr.Polska'!B3:G19,MATCH(10,B4:B20,0),4)</f>
        <v>0</v>
      </c>
      <c r="G13" s="50">
        <f>INDEX('3_s.bezr.Polska'!B3:G19,MATCH(10,B4:B20,0),5)</f>
        <v>6.4</v>
      </c>
      <c r="H13" s="49">
        <f>INDEX('3_s.bezr.Polska'!B3:G19,MATCH(10,B4:B20,0),6)</f>
        <v>-0.80000000000000071</v>
      </c>
    </row>
    <row r="14" spans="1:8" x14ac:dyDescent="0.2">
      <c r="A14" s="3">
        <v>11</v>
      </c>
      <c r="B14" s="10">
        <f>RANK('3_s.bezr.Polska'!C13,'3_s.bezr.Polska'!$C$3:'3_s.bezr.Polska'!$C$19,1)+COUNTIF('3_s.bezr.Polska'!$C$3:'3_s.bezr.Polska'!C13,'3_s.bezr.Polska'!C13)-1</f>
        <v>12</v>
      </c>
      <c r="C14" s="8" t="str">
        <f>INDEX('3_s.bezr.Polska'!B3:G19,MATCH(11,B4:B20,0),1)</f>
        <v>ZACHODNIOPOMORSKIE</v>
      </c>
      <c r="D14" s="12">
        <f>INDEX('3_s.bezr.Polska'!B3:G19,MATCH(11,B4:B20,0),2)</f>
        <v>6.3</v>
      </c>
      <c r="E14" s="50">
        <f>INDEX('3_s.bezr.Polska'!B3:G19,MATCH(11,B4:B20,0),3)</f>
        <v>6.4</v>
      </c>
      <c r="F14" s="49">
        <f>INDEX('3_s.bezr.Polska'!B3:G19,MATCH(11,B4:B20,0),4)</f>
        <v>-0.10000000000000053</v>
      </c>
      <c r="G14" s="50">
        <f>INDEX('3_s.bezr.Polska'!B3:G19,MATCH(11,B4:B20,0),5)</f>
        <v>7.7</v>
      </c>
      <c r="H14" s="49">
        <f>INDEX('3_s.bezr.Polska'!B3:G19,MATCH(11,B4:B20,0),6)</f>
        <v>-1.4000000000000004</v>
      </c>
    </row>
    <row r="15" spans="1:8" x14ac:dyDescent="0.2">
      <c r="A15" s="3">
        <v>12</v>
      </c>
      <c r="B15" s="10">
        <f>RANK('3_s.bezr.Polska'!C14,'3_s.bezr.Polska'!$C$3:'3_s.bezr.Polska'!$C$19,1)+COUNTIF('3_s.bezr.Polska'!$C$3:'3_s.bezr.Polska'!C14,'3_s.bezr.Polska'!C14)-1</f>
        <v>7</v>
      </c>
      <c r="C15" s="8" t="str">
        <f>INDEX('3_s.bezr.Polska'!B3:G19,MATCH(12,B4:B20,0),1)</f>
        <v>PODLASKIE</v>
      </c>
      <c r="D15" s="12">
        <f>INDEX('3_s.bezr.Polska'!B3:G19,MATCH(12,B4:B20,0),2)</f>
        <v>6.5</v>
      </c>
      <c r="E15" s="50">
        <f>INDEX('3_s.bezr.Polska'!B3:G19,MATCH(12,B4:B20,0),3)</f>
        <v>6.5</v>
      </c>
      <c r="F15" s="49">
        <f>INDEX('3_s.bezr.Polska'!B3:G19,MATCH(12,B4:B20,0),4)</f>
        <v>0</v>
      </c>
      <c r="G15" s="50">
        <f>INDEX('3_s.bezr.Polska'!B3:G19,MATCH(12,B4:B20,0),5)</f>
        <v>7.4</v>
      </c>
      <c r="H15" s="49">
        <f>INDEX('3_s.bezr.Polska'!B3:G19,MATCH(12,B4:B20,0),6)</f>
        <v>-0.90000000000000036</v>
      </c>
    </row>
    <row r="16" spans="1:8" x14ac:dyDescent="0.2">
      <c r="A16" s="3">
        <v>13</v>
      </c>
      <c r="B16" s="10">
        <f>RANK('3_s.bezr.Polska'!C15,'3_s.bezr.Polska'!$C$3:'3_s.bezr.Polska'!$C$19,1)+COUNTIF('3_s.bezr.Polska'!$C$3:'3_s.bezr.Polska'!C15,'3_s.bezr.Polska'!C15)-1</f>
        <v>2</v>
      </c>
      <c r="C16" s="8" t="str">
        <f>INDEX('3_s.bezr.Polska'!B3:G19,MATCH(13,B4:B20,0),1)</f>
        <v>ŚWIĘTOKRZYSKIE</v>
      </c>
      <c r="D16" s="12">
        <f>INDEX('3_s.bezr.Polska'!B3:G19,MATCH(13,B4:B20,0),2)</f>
        <v>6.5</v>
      </c>
      <c r="E16" s="50">
        <f>INDEX('3_s.bezr.Polska'!B3:G19,MATCH(13,B4:B20,0),3)</f>
        <v>6.5</v>
      </c>
      <c r="F16" s="49">
        <f>INDEX('3_s.bezr.Polska'!B3:G19,MATCH(13,B4:B20,0),4)</f>
        <v>0</v>
      </c>
      <c r="G16" s="50">
        <f>INDEX('3_s.bezr.Polska'!B3:G19,MATCH(13,B4:B20,0),5)</f>
        <v>7.8</v>
      </c>
      <c r="H16" s="49">
        <f>INDEX('3_s.bezr.Polska'!B3:G19,MATCH(13,B4:B20,0),6)</f>
        <v>-1.2999999999999998</v>
      </c>
    </row>
    <row r="17" spans="1:8" x14ac:dyDescent="0.2">
      <c r="A17" s="3">
        <v>14</v>
      </c>
      <c r="B17" s="10">
        <f>RANK('3_s.bezr.Polska'!C16,'3_s.bezr.Polska'!$C$3:'3_s.bezr.Polska'!$C$19,1)+COUNTIF('3_s.bezr.Polska'!$C$3:'3_s.bezr.Polska'!C16,'3_s.bezr.Polska'!C16)-1</f>
        <v>13</v>
      </c>
      <c r="C17" s="8" t="str">
        <f>INDEX('3_s.bezr.Polska'!B3:G19,MATCH(14,B4:B20,0),1)</f>
        <v>LUBELSKIE</v>
      </c>
      <c r="D17" s="12">
        <f>INDEX('3_s.bezr.Polska'!B3:G19,MATCH(14,B4:B20,0),2)</f>
        <v>6.6</v>
      </c>
      <c r="E17" s="50">
        <f>INDEX('3_s.bezr.Polska'!B3:G19,MATCH(14,B4:B20,0),3)</f>
        <v>6.6</v>
      </c>
      <c r="F17" s="49">
        <f>INDEX('3_s.bezr.Polska'!B3:G19,MATCH(14,B4:B20,0),4)</f>
        <v>0</v>
      </c>
      <c r="G17" s="50">
        <f>INDEX('3_s.bezr.Polska'!B3:G19,MATCH(14,B4:B20,0),5)</f>
        <v>7.6</v>
      </c>
      <c r="H17" s="49">
        <f>INDEX('3_s.bezr.Polska'!B3:G19,MATCH(14,B4:B20,0),6)</f>
        <v>-1</v>
      </c>
    </row>
    <row r="18" spans="1:8" x14ac:dyDescent="0.2">
      <c r="A18" s="3">
        <v>15</v>
      </c>
      <c r="B18" s="10">
        <f>RANK('3_s.bezr.Polska'!C17,'3_s.bezr.Polska'!$C$3:'3_s.bezr.Polska'!$C$19,1)+COUNTIF('3_s.bezr.Polska'!$C$3:'3_s.bezr.Polska'!C17,'3_s.bezr.Polska'!C17)-1</f>
        <v>17</v>
      </c>
      <c r="C18" s="8" t="str">
        <f>INDEX('3_s.bezr.Polska'!B3:G19,MATCH(15,B4:B20,0),1)</f>
        <v>KUJAWSKO-POMORSKIE</v>
      </c>
      <c r="D18" s="12">
        <f>INDEX('3_s.bezr.Polska'!B3:G19,MATCH(15,B4:B20,0),2)</f>
        <v>6.8</v>
      </c>
      <c r="E18" s="50">
        <f>INDEX('3_s.bezr.Polska'!B3:G19,MATCH(15,B4:B20,0),3)</f>
        <v>6.9</v>
      </c>
      <c r="F18" s="49">
        <f>INDEX('3_s.bezr.Polska'!B3:G19,MATCH(15,B4:B20,0),4)</f>
        <v>-0.10000000000000053</v>
      </c>
      <c r="G18" s="50">
        <f>INDEX('3_s.bezr.Polska'!B3:G19,MATCH(15,B4:B20,0),5)</f>
        <v>8.1999999999999993</v>
      </c>
      <c r="H18" s="49">
        <f>INDEX('3_s.bezr.Polska'!B3:G19,MATCH(15,B4:B20,0),6)</f>
        <v>-1.3999999999999995</v>
      </c>
    </row>
    <row r="19" spans="1:8" x14ac:dyDescent="0.2">
      <c r="A19" s="3">
        <v>16</v>
      </c>
      <c r="B19" s="10">
        <f>RANK('3_s.bezr.Polska'!C18,'3_s.bezr.Polska'!$C$3:'3_s.bezr.Polska'!$C$19,1)+COUNTIF('3_s.bezr.Polska'!$C$3:'3_s.bezr.Polska'!C18,'3_s.bezr.Polska'!C18)-1</f>
        <v>1</v>
      </c>
      <c r="C19" s="8" t="str">
        <f>INDEX('3_s.bezr.Polska'!B3:G19,MATCH(16,B4:B20,0),1)</f>
        <v>PODKARPACKIE</v>
      </c>
      <c r="D19" s="12">
        <f>INDEX('3_s.bezr.Polska'!B3:G19,MATCH(16,B4:B20,0),2)</f>
        <v>7.3</v>
      </c>
      <c r="E19" s="50">
        <f>INDEX('3_s.bezr.Polska'!B3:G19,MATCH(16,B4:B20,0),3)</f>
        <v>7.3</v>
      </c>
      <c r="F19" s="49">
        <f>INDEX('3_s.bezr.Polska'!B3:G19,MATCH(16,B4:B20,0),4)</f>
        <v>0</v>
      </c>
      <c r="G19" s="50">
        <f>INDEX('3_s.bezr.Polska'!B3:G19,MATCH(16,B4:B20,0),5)</f>
        <v>8.5</v>
      </c>
      <c r="H19" s="49">
        <f>INDEX('3_s.bezr.Polska'!B3:G19,MATCH(16,B4:B20,0),6)</f>
        <v>-1.2000000000000002</v>
      </c>
    </row>
    <row r="20" spans="1:8" x14ac:dyDescent="0.2">
      <c r="A20" s="3">
        <v>17</v>
      </c>
      <c r="B20" s="10">
        <f>RANK('3_s.bezr.Polska'!C19,'3_s.bezr.Polska'!$C$3:'3_s.bezr.Polska'!$C$19,1)+COUNTIF('3_s.bezr.Polska'!$C$3:'3_s.bezr.Polska'!C19,'3_s.bezr.Polska'!C19)-1</f>
        <v>11</v>
      </c>
      <c r="C20" s="13" t="str">
        <f>INDEX('3_s.bezr.Polska'!B3:G19,MATCH(17,B4:B20,0),1)</f>
        <v>WARMIŃSKO-MAZURSKIE</v>
      </c>
      <c r="D20" s="12">
        <f>INDEX('3_s.bezr.Polska'!B3:G19,MATCH(17,B4:B20,0),2)</f>
        <v>7.6</v>
      </c>
      <c r="E20" s="50">
        <f>INDEX('3_s.bezr.Polska'!B3:G19,MATCH(17,B4:B20,0),3)</f>
        <v>7.6</v>
      </c>
      <c r="F20" s="49">
        <f>INDEX('3_s.bezr.Polska'!B3:G19,MATCH(17,B4:B20,0),4)</f>
        <v>0</v>
      </c>
      <c r="G20" s="50">
        <f>INDEX('3_s.bezr.Polska'!B3:G19,MATCH(17,B4:B20,0),5)</f>
        <v>9</v>
      </c>
      <c r="H20" s="49">
        <f>INDEX('3_s.bezr.Polska'!B3:G19,MATCH(17,B4:B20,0),6)</f>
        <v>-1.4000000000000004</v>
      </c>
    </row>
    <row r="21" spans="1:8" x14ac:dyDescent="0.2">
      <c r="B21" s="80" t="s">
        <v>92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30"/>
  <sheetViews>
    <sheetView zoomScale="90" zoomScaleNormal="90" workbookViewId="0">
      <selection activeCell="B1" sqref="B1"/>
    </sheetView>
  </sheetViews>
  <sheetFormatPr defaultRowHeight="14.25" x14ac:dyDescent="0.2"/>
  <cols>
    <col min="1" max="1" width="4.42578125" style="39" customWidth="1"/>
    <col min="2" max="2" width="31.5703125" style="3" customWidth="1"/>
    <col min="3" max="3" width="19" style="3" customWidth="1"/>
    <col min="4" max="4" width="18.42578125" style="3" customWidth="1"/>
    <col min="5" max="5" width="16.28515625" style="3" customWidth="1"/>
    <col min="6" max="6" width="18.42578125" style="3" customWidth="1"/>
    <col min="7" max="7" width="17.140625" style="3" customWidth="1"/>
    <col min="8" max="8" width="2.42578125" style="3" customWidth="1"/>
    <col min="9" max="9" width="10.140625" style="3" customWidth="1"/>
    <col min="10" max="16384" width="9.140625" style="3"/>
  </cols>
  <sheetData>
    <row r="1" spans="1:8" ht="16.5" customHeight="1" x14ac:dyDescent="0.2">
      <c r="B1" s="2" t="s">
        <v>90</v>
      </c>
    </row>
    <row r="2" spans="1:8" ht="71.25" x14ac:dyDescent="0.2">
      <c r="B2" s="6" t="s">
        <v>27</v>
      </c>
      <c r="C2" s="6" t="s">
        <v>115</v>
      </c>
      <c r="D2" s="7" t="s">
        <v>114</v>
      </c>
      <c r="E2" s="6" t="s">
        <v>75</v>
      </c>
      <c r="F2" s="7" t="s">
        <v>116</v>
      </c>
      <c r="G2" s="6" t="s">
        <v>76</v>
      </c>
    </row>
    <row r="3" spans="1:8" ht="15" x14ac:dyDescent="0.2">
      <c r="A3" s="39">
        <v>1</v>
      </c>
      <c r="B3" s="51" t="s">
        <v>33</v>
      </c>
      <c r="C3" s="52">
        <v>4.9000000000000004</v>
      </c>
      <c r="D3" s="53">
        <v>4.9000000000000004</v>
      </c>
      <c r="E3" s="54">
        <f>($C$3)-$D$3</f>
        <v>0</v>
      </c>
      <c r="F3" s="53">
        <v>5.9</v>
      </c>
      <c r="G3" s="52">
        <f>($C$3)-$F$3</f>
        <v>-1</v>
      </c>
      <c r="H3" s="39"/>
    </row>
    <row r="4" spans="1:8" ht="15" x14ac:dyDescent="0.25">
      <c r="A4" s="39">
        <v>2</v>
      </c>
      <c r="B4" s="55" t="s">
        <v>42</v>
      </c>
      <c r="C4" s="56">
        <v>7.3</v>
      </c>
      <c r="D4" s="53">
        <v>7.3</v>
      </c>
      <c r="E4" s="56">
        <f>($C$4)-$D$4</f>
        <v>0</v>
      </c>
      <c r="F4" s="53">
        <v>8.5</v>
      </c>
      <c r="G4" s="56">
        <f>($C$4)-$F$4</f>
        <v>-1.2000000000000002</v>
      </c>
      <c r="H4" s="39"/>
    </row>
    <row r="5" spans="1:8" x14ac:dyDescent="0.2">
      <c r="A5" s="39">
        <v>3</v>
      </c>
      <c r="B5" s="47" t="s">
        <v>50</v>
      </c>
      <c r="C5" s="48">
        <v>12.3</v>
      </c>
      <c r="D5" s="57">
        <v>12.4</v>
      </c>
      <c r="E5" s="12">
        <f>($C$5)-$D$5</f>
        <v>-9.9999999999999645E-2</v>
      </c>
      <c r="F5" s="57">
        <v>13.7</v>
      </c>
      <c r="G5" s="12">
        <f>($C$5)-$F$5</f>
        <v>-1.3999999999999986</v>
      </c>
      <c r="H5" s="39"/>
    </row>
    <row r="6" spans="1:8" x14ac:dyDescent="0.2">
      <c r="A6" s="39">
        <v>4</v>
      </c>
      <c r="B6" s="47" t="s">
        <v>51</v>
      </c>
      <c r="C6" s="48">
        <v>14.1</v>
      </c>
      <c r="D6" s="57">
        <v>14</v>
      </c>
      <c r="E6" s="12">
        <f>($C$6)-$D$6</f>
        <v>9.9999999999999645E-2</v>
      </c>
      <c r="F6" s="57">
        <v>14.5</v>
      </c>
      <c r="G6" s="12">
        <f>($C$6)-$F$6</f>
        <v>-0.40000000000000036</v>
      </c>
      <c r="H6" s="39"/>
    </row>
    <row r="7" spans="1:8" x14ac:dyDescent="0.2">
      <c r="A7" s="39">
        <v>5</v>
      </c>
      <c r="B7" s="47" t="s">
        <v>52</v>
      </c>
      <c r="C7" s="48">
        <v>3.9</v>
      </c>
      <c r="D7" s="57">
        <v>3.9</v>
      </c>
      <c r="E7" s="12">
        <f>($C$7)-$D$7</f>
        <v>0</v>
      </c>
      <c r="F7" s="57">
        <v>4.8</v>
      </c>
      <c r="G7" s="12">
        <f>($C$7)-$F$7</f>
        <v>-0.89999999999999991</v>
      </c>
      <c r="H7" s="39"/>
    </row>
    <row r="8" spans="1:8" x14ac:dyDescent="0.2">
      <c r="A8" s="39">
        <v>6</v>
      </c>
      <c r="B8" s="47" t="s">
        <v>53</v>
      </c>
      <c r="C8" s="48">
        <v>8.9</v>
      </c>
      <c r="D8" s="57">
        <v>8.9</v>
      </c>
      <c r="E8" s="12">
        <f>($C$8)-$D$8</f>
        <v>0</v>
      </c>
      <c r="F8" s="57">
        <v>10.8</v>
      </c>
      <c r="G8" s="12">
        <f>($C$8)-$F$8</f>
        <v>-1.9000000000000004</v>
      </c>
      <c r="H8" s="39"/>
    </row>
    <row r="9" spans="1:8" x14ac:dyDescent="0.2">
      <c r="A9" s="39">
        <v>7</v>
      </c>
      <c r="B9" s="47" t="s">
        <v>54</v>
      </c>
      <c r="C9" s="48">
        <v>9.1</v>
      </c>
      <c r="D9" s="57">
        <v>9.1</v>
      </c>
      <c r="E9" s="12">
        <f>($C$9)-$D$9</f>
        <v>0</v>
      </c>
      <c r="F9" s="57">
        <v>10.5</v>
      </c>
      <c r="G9" s="12">
        <f>($C$9)-$F$9</f>
        <v>-1.4000000000000004</v>
      </c>
      <c r="H9" s="39"/>
    </row>
    <row r="10" spans="1:8" x14ac:dyDescent="0.2">
      <c r="A10" s="39">
        <v>8</v>
      </c>
      <c r="B10" s="47" t="s">
        <v>55</v>
      </c>
      <c r="C10" s="48">
        <v>6.8</v>
      </c>
      <c r="D10" s="57">
        <v>6.7</v>
      </c>
      <c r="E10" s="12">
        <f>($C$10)-$D$10</f>
        <v>9.9999999999999645E-2</v>
      </c>
      <c r="F10" s="57">
        <v>7.5</v>
      </c>
      <c r="G10" s="12">
        <f>($C$10)-$F$10</f>
        <v>-0.70000000000000018</v>
      </c>
      <c r="H10" s="39"/>
    </row>
    <row r="11" spans="1:8" x14ac:dyDescent="0.2">
      <c r="A11" s="39">
        <v>9</v>
      </c>
      <c r="B11" s="47" t="s">
        <v>56</v>
      </c>
      <c r="C11" s="48">
        <v>5.0999999999999996</v>
      </c>
      <c r="D11" s="57">
        <v>5.0999999999999996</v>
      </c>
      <c r="E11" s="12">
        <f>($C$11)-$D$11</f>
        <v>0</v>
      </c>
      <c r="F11" s="57">
        <v>6.1</v>
      </c>
      <c r="G11" s="12">
        <f>($C$11)-$F$11</f>
        <v>-1</v>
      </c>
      <c r="H11" s="39"/>
    </row>
    <row r="12" spans="1:8" ht="15" x14ac:dyDescent="0.25">
      <c r="A12" s="39">
        <v>10</v>
      </c>
      <c r="B12" s="58" t="s">
        <v>57</v>
      </c>
      <c r="C12" s="59">
        <v>13.8</v>
      </c>
      <c r="D12" s="60">
        <v>13.8</v>
      </c>
      <c r="E12" s="61">
        <f>($C$12)-$D$12</f>
        <v>0</v>
      </c>
      <c r="F12" s="60">
        <v>14</v>
      </c>
      <c r="G12" s="61">
        <f>($C$12)-$F$12</f>
        <v>-0.19999999999999929</v>
      </c>
      <c r="H12" s="46"/>
    </row>
    <row r="13" spans="1:8" x14ac:dyDescent="0.2">
      <c r="A13" s="39">
        <v>11</v>
      </c>
      <c r="B13" s="47" t="s">
        <v>58</v>
      </c>
      <c r="C13" s="48">
        <v>11.8</v>
      </c>
      <c r="D13" s="57">
        <v>12.1</v>
      </c>
      <c r="E13" s="12">
        <f>($C$13)-$D$13</f>
        <v>-0.29999999999999893</v>
      </c>
      <c r="F13" s="57">
        <v>13.7</v>
      </c>
      <c r="G13" s="12">
        <f>($C$13)-$F$13</f>
        <v>-1.8999999999999986</v>
      </c>
      <c r="H13" s="39"/>
    </row>
    <row r="14" spans="1:8" x14ac:dyDescent="0.2">
      <c r="A14" s="39">
        <v>12</v>
      </c>
      <c r="B14" s="47" t="s">
        <v>59</v>
      </c>
      <c r="C14" s="48">
        <v>7</v>
      </c>
      <c r="D14" s="57">
        <v>7.2</v>
      </c>
      <c r="E14" s="12">
        <f>($C$14)-$D$14</f>
        <v>-0.20000000000000018</v>
      </c>
      <c r="F14" s="57">
        <v>8.4</v>
      </c>
      <c r="G14" s="12">
        <f>($C$14)-$F$14</f>
        <v>-1.4000000000000004</v>
      </c>
      <c r="H14" s="39"/>
    </row>
    <row r="15" spans="1:8" x14ac:dyDescent="0.2">
      <c r="A15" s="39">
        <v>13</v>
      </c>
      <c r="B15" s="47" t="s">
        <v>60</v>
      </c>
      <c r="C15" s="48">
        <v>8.6</v>
      </c>
      <c r="D15" s="57">
        <v>8.8000000000000007</v>
      </c>
      <c r="E15" s="12">
        <f>($C$15)-$D$15</f>
        <v>-0.20000000000000107</v>
      </c>
      <c r="F15" s="57">
        <v>10.5</v>
      </c>
      <c r="G15" s="12">
        <f>($C$15)-$F$15</f>
        <v>-1.9000000000000004</v>
      </c>
      <c r="H15" s="39"/>
    </row>
    <row r="16" spans="1:8" x14ac:dyDescent="0.2">
      <c r="A16" s="39">
        <v>14</v>
      </c>
      <c r="B16" s="47" t="s">
        <v>61</v>
      </c>
      <c r="C16" s="48">
        <v>4</v>
      </c>
      <c r="D16" s="57">
        <v>3.9</v>
      </c>
      <c r="E16" s="12">
        <f>($C$16)-$D$16</f>
        <v>0.10000000000000009</v>
      </c>
      <c r="F16" s="57">
        <v>4.9000000000000004</v>
      </c>
      <c r="G16" s="12">
        <f>($C$16)-$F$16</f>
        <v>-0.90000000000000036</v>
      </c>
      <c r="H16" s="39"/>
    </row>
    <row r="17" spans="1:8" x14ac:dyDescent="0.2">
      <c r="A17" s="39">
        <v>15</v>
      </c>
      <c r="B17" s="47" t="s">
        <v>62</v>
      </c>
      <c r="C17" s="48">
        <v>13.9</v>
      </c>
      <c r="D17" s="57">
        <v>13.9</v>
      </c>
      <c r="E17" s="12">
        <f>($C$17)-$D$17</f>
        <v>0</v>
      </c>
      <c r="F17" s="57">
        <v>15.1</v>
      </c>
      <c r="G17" s="12">
        <f>($C$17)-$F$17</f>
        <v>-1.1999999999999993</v>
      </c>
      <c r="H17" s="39"/>
    </row>
    <row r="18" spans="1:8" x14ac:dyDescent="0.2">
      <c r="A18" s="39">
        <v>16</v>
      </c>
      <c r="B18" s="47" t="s">
        <v>63</v>
      </c>
      <c r="C18" s="48">
        <v>10.9</v>
      </c>
      <c r="D18" s="57">
        <v>11.2</v>
      </c>
      <c r="E18" s="12">
        <f>($C$18)-$D$18</f>
        <v>-0.29999999999999893</v>
      </c>
      <c r="F18" s="57">
        <v>12.6</v>
      </c>
      <c r="G18" s="12">
        <f>($C$18)-$F$18</f>
        <v>-1.6999999999999993</v>
      </c>
      <c r="H18" s="39"/>
    </row>
    <row r="19" spans="1:8" x14ac:dyDescent="0.2">
      <c r="A19" s="39">
        <v>17</v>
      </c>
      <c r="B19" s="47" t="s">
        <v>64</v>
      </c>
      <c r="C19" s="48">
        <v>10.4</v>
      </c>
      <c r="D19" s="57">
        <v>10.4</v>
      </c>
      <c r="E19" s="12">
        <f>($C$19)-$D$19</f>
        <v>0</v>
      </c>
      <c r="F19" s="57">
        <v>11.4</v>
      </c>
      <c r="G19" s="12">
        <f>($C$19)-$F$19</f>
        <v>-1</v>
      </c>
      <c r="H19" s="39"/>
    </row>
    <row r="20" spans="1:8" x14ac:dyDescent="0.2">
      <c r="A20" s="39">
        <v>18</v>
      </c>
      <c r="B20" s="47" t="s">
        <v>65</v>
      </c>
      <c r="C20" s="48">
        <v>10.4</v>
      </c>
      <c r="D20" s="57">
        <v>10.4</v>
      </c>
      <c r="E20" s="12">
        <f>($C$20)-$D$20</f>
        <v>0</v>
      </c>
      <c r="F20" s="57">
        <v>11.6</v>
      </c>
      <c r="G20" s="12">
        <f>($C$20)-$F$20</f>
        <v>-1.1999999999999993</v>
      </c>
      <c r="H20" s="39"/>
    </row>
    <row r="21" spans="1:8" x14ac:dyDescent="0.2">
      <c r="A21" s="39">
        <v>19</v>
      </c>
      <c r="B21" s="47" t="s">
        <v>66</v>
      </c>
      <c r="C21" s="48">
        <v>6.5</v>
      </c>
      <c r="D21" s="57">
        <v>6.6</v>
      </c>
      <c r="E21" s="12">
        <f>($C$21)-$D$21</f>
        <v>-9.9999999999999645E-2</v>
      </c>
      <c r="F21" s="57">
        <v>8.1</v>
      </c>
      <c r="G21" s="12">
        <f>($C$21)-$F$21</f>
        <v>-1.5999999999999996</v>
      </c>
      <c r="H21" s="39"/>
    </row>
    <row r="22" spans="1:8" x14ac:dyDescent="0.2">
      <c r="A22" s="39">
        <v>20</v>
      </c>
      <c r="B22" s="47" t="s">
        <v>67</v>
      </c>
      <c r="C22" s="48">
        <v>5.9</v>
      </c>
      <c r="D22" s="57">
        <v>5.8</v>
      </c>
      <c r="E22" s="12">
        <f>($C$22)-$D$22</f>
        <v>0.10000000000000053</v>
      </c>
      <c r="F22" s="57">
        <v>6.5</v>
      </c>
      <c r="G22" s="12">
        <f>($C$22)-$F$22</f>
        <v>-0.59999999999999964</v>
      </c>
      <c r="H22" s="39"/>
    </row>
    <row r="23" spans="1:8" x14ac:dyDescent="0.2">
      <c r="A23" s="39">
        <v>21</v>
      </c>
      <c r="B23" s="47" t="s">
        <v>68</v>
      </c>
      <c r="C23" s="48">
        <v>4.5999999999999996</v>
      </c>
      <c r="D23" s="57">
        <v>4.4000000000000004</v>
      </c>
      <c r="E23" s="12">
        <f>($C$23)-$D$23</f>
        <v>0.19999999999999929</v>
      </c>
      <c r="F23" s="57">
        <v>5.4</v>
      </c>
      <c r="G23" s="12">
        <f>($C$23)-$F$23</f>
        <v>-0.80000000000000071</v>
      </c>
      <c r="H23" s="39"/>
    </row>
    <row r="24" spans="1:8" x14ac:dyDescent="0.2">
      <c r="A24" s="39">
        <v>22</v>
      </c>
      <c r="B24" s="47" t="s">
        <v>69</v>
      </c>
      <c r="C24" s="48">
        <v>12.2</v>
      </c>
      <c r="D24" s="57">
        <v>12.2</v>
      </c>
      <c r="E24" s="12">
        <f>($C$24)-$D$24</f>
        <v>0</v>
      </c>
      <c r="F24" s="57">
        <v>13.6</v>
      </c>
      <c r="G24" s="12">
        <f>($C$24)-$F$24</f>
        <v>-1.4000000000000004</v>
      </c>
      <c r="H24" s="39"/>
    </row>
    <row r="25" spans="1:8" x14ac:dyDescent="0.2">
      <c r="A25" s="39">
        <v>23</v>
      </c>
      <c r="B25" s="47" t="s">
        <v>70</v>
      </c>
      <c r="C25" s="48">
        <v>5.7</v>
      </c>
      <c r="D25" s="57">
        <v>6.1</v>
      </c>
      <c r="E25" s="12">
        <f>($C$25)-$D$25</f>
        <v>-0.39999999999999947</v>
      </c>
      <c r="F25" s="57">
        <v>7.1</v>
      </c>
      <c r="G25" s="12">
        <f>($C$25)-$F$25</f>
        <v>-1.3999999999999995</v>
      </c>
      <c r="H25" s="39"/>
    </row>
    <row r="26" spans="1:8" x14ac:dyDescent="0.2">
      <c r="A26" s="39">
        <v>24</v>
      </c>
      <c r="B26" s="47" t="s">
        <v>71</v>
      </c>
      <c r="C26" s="62">
        <v>2.5</v>
      </c>
      <c r="D26" s="57">
        <v>2.5</v>
      </c>
      <c r="E26" s="12">
        <f>($C$26)-$D$26</f>
        <v>0</v>
      </c>
      <c r="F26" s="57">
        <v>2.9</v>
      </c>
      <c r="G26" s="12">
        <f>($C$26)-$F$26</f>
        <v>-0.39999999999999991</v>
      </c>
      <c r="H26" s="39"/>
    </row>
    <row r="27" spans="1:8" x14ac:dyDescent="0.2">
      <c r="A27" s="39">
        <v>25</v>
      </c>
      <c r="B27" s="47" t="s">
        <v>72</v>
      </c>
      <c r="C27" s="48">
        <v>9.4</v>
      </c>
      <c r="D27" s="57">
        <v>9.6999999999999993</v>
      </c>
      <c r="E27" s="12">
        <f>($C$27)-$D$27</f>
        <v>-0.29999999999999893</v>
      </c>
      <c r="F27" s="57">
        <v>11</v>
      </c>
      <c r="G27" s="12">
        <f>($C$27)-$F$27</f>
        <v>-1.5999999999999996</v>
      </c>
      <c r="H27" s="39"/>
    </row>
    <row r="28" spans="1:8" x14ac:dyDescent="0.2">
      <c r="A28" s="39">
        <v>26</v>
      </c>
      <c r="B28" s="47" t="s">
        <v>73</v>
      </c>
      <c r="C28" s="48">
        <v>4.5999999999999996</v>
      </c>
      <c r="D28" s="57">
        <v>4.5999999999999996</v>
      </c>
      <c r="E28" s="12">
        <f>($C$28)-$D$28</f>
        <v>0</v>
      </c>
      <c r="F28" s="57">
        <v>5.6</v>
      </c>
      <c r="G28" s="12">
        <f>($C$28)-$F$28</f>
        <v>-1</v>
      </c>
      <c r="H28" s="39"/>
    </row>
    <row r="29" spans="1:8" x14ac:dyDescent="0.2">
      <c r="A29" s="39">
        <v>27</v>
      </c>
      <c r="B29" s="47" t="s">
        <v>74</v>
      </c>
      <c r="C29" s="48">
        <v>6.7</v>
      </c>
      <c r="D29" s="63">
        <v>6.9</v>
      </c>
      <c r="E29" s="12">
        <f>($C$29)-$D$29</f>
        <v>-0.20000000000000018</v>
      </c>
      <c r="F29" s="63">
        <v>8.6</v>
      </c>
      <c r="G29" s="12">
        <f>($C$29)-$F$29</f>
        <v>-1.8999999999999995</v>
      </c>
      <c r="H29" s="39"/>
    </row>
    <row r="30" spans="1:8" x14ac:dyDescent="0.2">
      <c r="B30" s="80" t="s">
        <v>92</v>
      </c>
      <c r="E30" s="46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31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39" customWidth="1"/>
    <col min="2" max="2" width="5.85546875" style="3" customWidth="1"/>
    <col min="3" max="3" width="31" style="3" customWidth="1"/>
    <col min="4" max="4" width="14.7109375" style="3" customWidth="1"/>
    <col min="5" max="5" width="14.85546875" style="3" customWidth="1"/>
    <col min="6" max="6" width="16.28515625" style="3" customWidth="1"/>
    <col min="7" max="7" width="14.5703125" style="3" customWidth="1"/>
    <col min="8" max="8" width="17.140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90</v>
      </c>
    </row>
    <row r="2" spans="1:8" ht="15" x14ac:dyDescent="0.2">
      <c r="C2" s="31"/>
      <c r="D2" s="32"/>
    </row>
    <row r="3" spans="1:8" ht="71.25" x14ac:dyDescent="0.2">
      <c r="B3" s="33" t="s">
        <v>88</v>
      </c>
      <c r="C3" s="5" t="str">
        <f>T('4_s.bezr.pow.'!B2)</f>
        <v>powiaty</v>
      </c>
      <c r="D3" s="5" t="str">
        <f>T('4_s.bezr.pow.'!C2)</f>
        <v>Stopa bezrobocia stan na 31 VII '22 r. w proc.**</v>
      </c>
      <c r="E3" s="5" t="str">
        <f>T('4_s.bezr.pow.'!D2)</f>
        <v>Stopa bezrobocia stan na 30 VI '22 r. w proc. **</v>
      </c>
      <c r="F3" s="5" t="str">
        <f>T('4_s.bezr.pow.'!E2)</f>
        <v>wzrost/spadek do poprzedniego miesiąca (pkt. proc.)</v>
      </c>
      <c r="G3" s="5" t="str">
        <f>T('4_s.bezr.pow.'!F2)</f>
        <v>Stopa bezrobocia stan na 31 VII '21 r. w proc.**</v>
      </c>
      <c r="H3" s="5" t="str">
        <f>T('4_s.bezr.pow.'!G2)</f>
        <v>wzrost/spadek do analogicznego okresu ubr. (pkt. proc.)</v>
      </c>
    </row>
    <row r="4" spans="1:8" x14ac:dyDescent="0.2">
      <c r="A4" s="39">
        <v>1</v>
      </c>
      <c r="B4" s="10">
        <f>RANK('4_s.bezr.pow.'!C3,'4_s.bezr.pow.'!$C$3:'4_s.bezr.pow.'!$C$29,1)+COUNTIF('4_s.bezr.pow.'!$C$3:'4_s.bezr.pow.'!C3,'4_s.bezr.pow.'!C3)-1</f>
        <v>6</v>
      </c>
      <c r="C4" s="64" t="str">
        <f>INDEX('4_s.bezr.pow.'!B3:G29,MATCH(1,B4:B30,0),1)</f>
        <v>Powiat m.Krosno</v>
      </c>
      <c r="D4" s="46">
        <f>INDEX('4_s.bezr.pow.'!B3:G29,MATCH(1,B4:B30,0),2)</f>
        <v>2.5</v>
      </c>
      <c r="E4" s="57">
        <f>INDEX('4_s.bezr.pow.'!B3:G29,MATCH(1,B4:B30,0),3)</f>
        <v>2.5</v>
      </c>
      <c r="F4" s="36">
        <f>INDEX('4_s.bezr.pow.'!B3:G29,MATCH(1,B4:B30,0),4)</f>
        <v>0</v>
      </c>
      <c r="G4" s="57">
        <f>INDEX('4_s.bezr.pow.'!B3:G29,MATCH(1,B4:B30,0),5)</f>
        <v>2.9</v>
      </c>
      <c r="H4" s="36">
        <f>INDEX('4_s.bezr.pow.'!B3:G29,MATCH(1,B4:B30,0),6)</f>
        <v>-0.39999999999999991</v>
      </c>
    </row>
    <row r="5" spans="1:8" x14ac:dyDescent="0.2">
      <c r="A5" s="39">
        <v>2</v>
      </c>
      <c r="B5" s="10">
        <f>RANK('4_s.bezr.pow.'!C4,'4_s.bezr.pow.'!$C$3:'4_s.bezr.pow.'!$C$29,1)+COUNTIF('4_s.bezr.pow.'!$C$3:'4_s.bezr.pow.'!C4,'4_s.bezr.pow.'!C4)-1</f>
        <v>14</v>
      </c>
      <c r="C5" s="8" t="str">
        <f>INDEX('4_s.bezr.pow.'!B3:G29,MATCH(2,B4:B30,0),1)</f>
        <v>Powiat dębicki</v>
      </c>
      <c r="D5" s="12">
        <f>INDEX('4_s.bezr.pow.'!B3:G29,MATCH(2,B4:B30,0),2)</f>
        <v>3.9</v>
      </c>
      <c r="E5" s="57">
        <f>INDEX('4_s.bezr.pow.'!B3:G29,MATCH(2,B4:B30,0),3)</f>
        <v>3.9</v>
      </c>
      <c r="F5" s="36">
        <f>INDEX('4_s.bezr.pow.'!B3:G29,MATCH(2,B4:B30,0),4)</f>
        <v>0</v>
      </c>
      <c r="G5" s="57">
        <f>INDEX('4_s.bezr.pow.'!B3:G29,MATCH(2,B4:B30,0),5)</f>
        <v>4.8</v>
      </c>
      <c r="H5" s="36">
        <f>INDEX('4_s.bezr.pow.'!B3:G29,MATCH(2,B4:B30,0),6)</f>
        <v>-0.89999999999999991</v>
      </c>
    </row>
    <row r="6" spans="1:8" x14ac:dyDescent="0.2">
      <c r="A6" s="39">
        <v>3</v>
      </c>
      <c r="B6" s="10">
        <f>RANK('4_s.bezr.pow.'!C5,'4_s.bezr.pow.'!$C$3:'4_s.bezr.pow.'!$C$29,1)+COUNTIF('4_s.bezr.pow.'!$C$3:'4_s.bezr.pow.'!C5,'4_s.bezr.pow.'!C5)-1</f>
        <v>24</v>
      </c>
      <c r="C6" s="8" t="str">
        <f>INDEX('4_s.bezr.pow.'!B3:G29,MATCH(3,B4:B30,0),1)</f>
        <v>Powiat mielecki</v>
      </c>
      <c r="D6" s="12">
        <f>INDEX('4_s.bezr.pow.'!B3:G29,MATCH(3,B4:B30,0),2)</f>
        <v>4</v>
      </c>
      <c r="E6" s="57">
        <f>INDEX('4_s.bezr.pow.'!B3:G29,MATCH(3,B4:B30,0),3)</f>
        <v>3.9</v>
      </c>
      <c r="F6" s="36">
        <f>INDEX('4_s.bezr.pow.'!B3:G29,MATCH(3,B4:B30,0),4)</f>
        <v>0.10000000000000009</v>
      </c>
      <c r="G6" s="57">
        <f>INDEX('4_s.bezr.pow.'!B3:G29,MATCH(3,B4:B30,0),5)</f>
        <v>4.9000000000000004</v>
      </c>
      <c r="H6" s="36">
        <f>INDEX('4_s.bezr.pow.'!B3:G29,MATCH(3,B4:B30,0),6)</f>
        <v>-0.90000000000000036</v>
      </c>
    </row>
    <row r="7" spans="1:8" x14ac:dyDescent="0.2">
      <c r="A7" s="39">
        <v>4</v>
      </c>
      <c r="B7" s="10">
        <f>RANK('4_s.bezr.pow.'!C6,'4_s.bezr.pow.'!$C$3:'4_s.bezr.pow.'!$C$29,1)+COUNTIF('4_s.bezr.pow.'!$C$3:'4_s.bezr.pow.'!C6,'4_s.bezr.pow.'!C6)-1</f>
        <v>27</v>
      </c>
      <c r="C7" s="8" t="str">
        <f>INDEX('4_s.bezr.pow.'!B3:G29,MATCH(4,B4:B30,0),1)</f>
        <v>Powiat stalowowolski</v>
      </c>
      <c r="D7" s="12">
        <f>INDEX('4_s.bezr.pow.'!B3:G29,MATCH(4,B4:B30,0),2)</f>
        <v>4.5999999999999996</v>
      </c>
      <c r="E7" s="57">
        <f>INDEX('4_s.bezr.pow.'!B3:G29,MATCH(4,B4:B30,0),3)</f>
        <v>4.4000000000000004</v>
      </c>
      <c r="F7" s="36">
        <f>INDEX('4_s.bezr.pow.'!B3:G29,MATCH(4,B4:B30,0),4)</f>
        <v>0.19999999999999929</v>
      </c>
      <c r="G7" s="57">
        <f>INDEX('4_s.bezr.pow.'!B3:G29,MATCH(4,B4:B30,0),5)</f>
        <v>5.4</v>
      </c>
      <c r="H7" s="36">
        <f>INDEX('4_s.bezr.pow.'!B3:G29,MATCH(4,B4:B30,0),6)</f>
        <v>-0.80000000000000071</v>
      </c>
    </row>
    <row r="8" spans="1:8" x14ac:dyDescent="0.2">
      <c r="A8" s="39">
        <v>5</v>
      </c>
      <c r="B8" s="10">
        <f>RANK('4_s.bezr.pow.'!C7,'4_s.bezr.pow.'!$C$3:'4_s.bezr.pow.'!$C$29,1)+COUNTIF('4_s.bezr.pow.'!$C$3:'4_s.bezr.pow.'!C7,'4_s.bezr.pow.'!C7)-1</f>
        <v>2</v>
      </c>
      <c r="C8" s="8" t="str">
        <f>INDEX('4_s.bezr.pow.'!B3:G29,MATCH(5,B4:B30,0),1)</f>
        <v>Powiat m.Rzeszów</v>
      </c>
      <c r="D8" s="12">
        <f>INDEX('4_s.bezr.pow.'!B3:G29,MATCH(5,B4:B30,0),2)</f>
        <v>4.5999999999999996</v>
      </c>
      <c r="E8" s="57">
        <f>INDEX('4_s.bezr.pow.'!B3:G29,MATCH(5,B4:B30,0),3)</f>
        <v>4.5999999999999996</v>
      </c>
      <c r="F8" s="36">
        <f>INDEX('4_s.bezr.pow.'!B3:G29,MATCH(5,B4:B30,0),4)</f>
        <v>0</v>
      </c>
      <c r="G8" s="57">
        <f>INDEX('4_s.bezr.pow.'!B3:G29,MATCH(5,B4:B30,0),5)</f>
        <v>5.6</v>
      </c>
      <c r="H8" s="36">
        <f>INDEX('4_s.bezr.pow.'!B3:G29,MATCH(5,B4:B30,0),6)</f>
        <v>-1</v>
      </c>
    </row>
    <row r="9" spans="1:8" x14ac:dyDescent="0.2">
      <c r="A9" s="39">
        <v>6</v>
      </c>
      <c r="B9" s="10">
        <f>RANK('4_s.bezr.pow.'!C8,'4_s.bezr.pow.'!$C$3:'4_s.bezr.pow.'!$C$29,1)+COUNTIF('4_s.bezr.pow.'!$C$3:'4_s.bezr.pow.'!C8,'4_s.bezr.pow.'!C8)-1</f>
        <v>16</v>
      </c>
      <c r="C9" s="8" t="str">
        <f>INDEX('4_s.bezr.pow.'!B3:G29,MATCH(6,B4:B30,0),1)</f>
        <v>POLSKA</v>
      </c>
      <c r="D9" s="12">
        <f>INDEX('4_s.bezr.pow.'!B3:G29,MATCH(6,B4:B30,0),2)</f>
        <v>4.9000000000000004</v>
      </c>
      <c r="E9" s="57">
        <f>INDEX('4_s.bezr.pow.'!B3:G29,MATCH(6,B4:B30,0),3)</f>
        <v>4.9000000000000004</v>
      </c>
      <c r="F9" s="36">
        <f>INDEX('4_s.bezr.pow.'!B3:G29,MATCH(6,B4:B30,0),4)</f>
        <v>0</v>
      </c>
      <c r="G9" s="57">
        <f>INDEX('4_s.bezr.pow.'!B3:G29,MATCH(6,B4:B30,0),5)</f>
        <v>5.9</v>
      </c>
      <c r="H9" s="36">
        <f>INDEX('4_s.bezr.pow.'!B3:G29,MATCH(6,B4:B30,0),6)</f>
        <v>-1</v>
      </c>
    </row>
    <row r="10" spans="1:8" x14ac:dyDescent="0.2">
      <c r="A10" s="39">
        <v>7</v>
      </c>
      <c r="B10" s="10">
        <f>RANK('4_s.bezr.pow.'!C9,'4_s.bezr.pow.'!$C$3:'4_s.bezr.pow.'!$C$29,1)+COUNTIF('4_s.bezr.pow.'!$C$3:'4_s.bezr.pow.'!C9,'4_s.bezr.pow.'!C9)-1</f>
        <v>17</v>
      </c>
      <c r="C10" s="13" t="str">
        <f>INDEX('4_s.bezr.pow.'!B3:G29,MATCH(7,B4:B30,0),1)</f>
        <v>Powiat krośnieński</v>
      </c>
      <c r="D10" s="12">
        <f>INDEX('4_s.bezr.pow.'!B3:G29,MATCH(7,B4:B30,0),2)</f>
        <v>5.0999999999999996</v>
      </c>
      <c r="E10" s="57">
        <f>INDEX('4_s.bezr.pow.'!B3:G29,MATCH(7,B4:B30,0),3)</f>
        <v>5.0999999999999996</v>
      </c>
      <c r="F10" s="36">
        <f>INDEX('4_s.bezr.pow.'!B3:G29,MATCH(7,B4:B30,0),4)</f>
        <v>0</v>
      </c>
      <c r="G10" s="57">
        <f>INDEX('4_s.bezr.pow.'!B3:G29,MATCH(7,B4:B30,0),5)</f>
        <v>6.1</v>
      </c>
      <c r="H10" s="36">
        <f>INDEX('4_s.bezr.pow.'!B3:G29,MATCH(7,B4:B30,0),6)</f>
        <v>-1</v>
      </c>
    </row>
    <row r="11" spans="1:8" x14ac:dyDescent="0.2">
      <c r="A11" s="39">
        <v>8</v>
      </c>
      <c r="B11" s="10">
        <f>RANK('4_s.bezr.pow.'!C10,'4_s.bezr.pow.'!$C$3:'4_s.bezr.pow.'!$C$29,1)+COUNTIF('4_s.bezr.pow.'!$C$3:'4_s.bezr.pow.'!C10,'4_s.bezr.pow.'!C10)-1</f>
        <v>12</v>
      </c>
      <c r="C11" s="8" t="str">
        <f>INDEX('4_s.bezr.pow.'!B3:G29,MATCH(8,B4:B30,0),1)</f>
        <v>Powiat tarnobrzeski</v>
      </c>
      <c r="D11" s="12">
        <f>INDEX('4_s.bezr.pow.'!B3:G29,MATCH(8,B4:B30,0),2)</f>
        <v>5.7</v>
      </c>
      <c r="E11" s="57">
        <f>INDEX('4_s.bezr.pow.'!B3:G29,MATCH(8,B4:B30,0),3)</f>
        <v>6.1</v>
      </c>
      <c r="F11" s="36">
        <f>INDEX('4_s.bezr.pow.'!B3:G29,MATCH(8,B4:B30,0),4)</f>
        <v>-0.39999999999999947</v>
      </c>
      <c r="G11" s="57">
        <f>INDEX('4_s.bezr.pow.'!B3:G29,MATCH(8,B4:B30,0),5)</f>
        <v>7.1</v>
      </c>
      <c r="H11" s="36">
        <f>INDEX('4_s.bezr.pow.'!B3:G29,MATCH(8,B4:B30,0),6)</f>
        <v>-1.3999999999999995</v>
      </c>
    </row>
    <row r="12" spans="1:8" x14ac:dyDescent="0.2">
      <c r="A12" s="39">
        <v>9</v>
      </c>
      <c r="B12" s="10">
        <f>RANK('4_s.bezr.pow.'!C11,'4_s.bezr.pow.'!$C$3:'4_s.bezr.pow.'!$C$29,1)+COUNTIF('4_s.bezr.pow.'!$C$3:'4_s.bezr.pow.'!C11,'4_s.bezr.pow.'!C11)-1</f>
        <v>7</v>
      </c>
      <c r="C12" s="8" t="str">
        <f>INDEX('4_s.bezr.pow.'!B3:G29,MATCH(9,B4:B30,0),1)</f>
        <v>Powiat sanocki</v>
      </c>
      <c r="D12" s="12">
        <f>INDEX('4_s.bezr.pow.'!B3:G29,MATCH(9,B4:B30,0),2)</f>
        <v>5.9</v>
      </c>
      <c r="E12" s="57">
        <f>INDEX('4_s.bezr.pow.'!B3:G29,MATCH(9,B4:B30,0),3)</f>
        <v>5.8</v>
      </c>
      <c r="F12" s="36">
        <f>INDEX('4_s.bezr.pow.'!B3:G29,MATCH(9,B4:B30,0),4)</f>
        <v>0.10000000000000053</v>
      </c>
      <c r="G12" s="57">
        <f>INDEX('4_s.bezr.pow.'!B3:G29,MATCH(9,B4:B30,0),5)</f>
        <v>6.5</v>
      </c>
      <c r="H12" s="36">
        <f>INDEX('4_s.bezr.pow.'!B3:G29,MATCH(9,B4:B30,0),6)</f>
        <v>-0.59999999999999964</v>
      </c>
    </row>
    <row r="13" spans="1:8" x14ac:dyDescent="0.2">
      <c r="A13" s="39">
        <v>10</v>
      </c>
      <c r="B13" s="10">
        <f>RANK('4_s.bezr.pow.'!C12,'4_s.bezr.pow.'!$C$3:'4_s.bezr.pow.'!$C$29,1)+COUNTIF('4_s.bezr.pow.'!$C$3:'4_s.bezr.pow.'!C12,'4_s.bezr.pow.'!C12)-1</f>
        <v>25</v>
      </c>
      <c r="C13" s="8" t="str">
        <f>INDEX('4_s.bezr.pow.'!B3:G29,MATCH(10,B4:B30,0),1)</f>
        <v>Powiat rzeszowski</v>
      </c>
      <c r="D13" s="12">
        <f>INDEX('4_s.bezr.pow.'!B3:G29,MATCH(10,B4:B30,0),2)</f>
        <v>6.5</v>
      </c>
      <c r="E13" s="57">
        <f>INDEX('4_s.bezr.pow.'!B3:G29,MATCH(10,B4:B30,0),3)</f>
        <v>6.6</v>
      </c>
      <c r="F13" s="36">
        <f>INDEX('4_s.bezr.pow.'!B3:G29,MATCH(10,B4:B30,0),4)</f>
        <v>-9.9999999999999645E-2</v>
      </c>
      <c r="G13" s="57">
        <f>INDEX('4_s.bezr.pow.'!B3:G29,MATCH(10,B4:B30,0),5)</f>
        <v>8.1</v>
      </c>
      <c r="H13" s="36">
        <f>INDEX('4_s.bezr.pow.'!B3:G29,MATCH(10,B4:B30,0),6)</f>
        <v>-1.5999999999999996</v>
      </c>
    </row>
    <row r="14" spans="1:8" x14ac:dyDescent="0.2">
      <c r="A14" s="39">
        <v>11</v>
      </c>
      <c r="B14" s="10">
        <f>RANK('4_s.bezr.pow.'!C13,'4_s.bezr.pow.'!$C$3:'4_s.bezr.pow.'!$C$29,1)+COUNTIF('4_s.bezr.pow.'!$C$3:'4_s.bezr.pow.'!C13,'4_s.bezr.pow.'!C13)-1</f>
        <v>22</v>
      </c>
      <c r="C14" s="8" t="str">
        <f>INDEX('4_s.bezr.pow.'!B3:G29,MATCH(11,B4:B30,0),1)</f>
        <v>Powiat m.Tarnobrzeg</v>
      </c>
      <c r="D14" s="12">
        <f>INDEX('4_s.bezr.pow.'!B3:G29,MATCH(11,B4:B30,0),2)</f>
        <v>6.7</v>
      </c>
      <c r="E14" s="57">
        <f>INDEX('4_s.bezr.pow.'!B3:G29,MATCH(11,B4:B30,0),3)</f>
        <v>6.9</v>
      </c>
      <c r="F14" s="36">
        <f>INDEX('4_s.bezr.pow.'!B3:G29,MATCH(11,B4:B30,0),4)</f>
        <v>-0.20000000000000018</v>
      </c>
      <c r="G14" s="57">
        <f>INDEX('4_s.bezr.pow.'!B3:G29,MATCH(11,B4:B30,0),5)</f>
        <v>8.6</v>
      </c>
      <c r="H14" s="36">
        <f>INDEX('4_s.bezr.pow.'!B3:G29,MATCH(11,B4:B30,0),6)</f>
        <v>-1.8999999999999995</v>
      </c>
    </row>
    <row r="15" spans="1:8" x14ac:dyDescent="0.2">
      <c r="A15" s="39">
        <v>12</v>
      </c>
      <c r="B15" s="10">
        <f>RANK('4_s.bezr.pow.'!C14,'4_s.bezr.pow.'!$C$3:'4_s.bezr.pow.'!$C$29,1)+COUNTIF('4_s.bezr.pow.'!$C$3:'4_s.bezr.pow.'!C14,'4_s.bezr.pow.'!C14)-1</f>
        <v>13</v>
      </c>
      <c r="C15" s="65" t="str">
        <f>INDEX('4_s.bezr.pow.'!B3:G29,MATCH(12,B4:B30,0),1)</f>
        <v>Powiat kolbuszowski</v>
      </c>
      <c r="D15" s="12">
        <f>INDEX('4_s.bezr.pow.'!B3:G29,MATCH(12,B4:B30,0),2)</f>
        <v>6.8</v>
      </c>
      <c r="E15" s="57">
        <f>INDEX('4_s.bezr.pow.'!B3:G29,MATCH(12,B4:B30,0),3)</f>
        <v>6.7</v>
      </c>
      <c r="F15" s="36">
        <f>INDEX('4_s.bezr.pow.'!B3:G29,MATCH(12,B4:B30,0),4)</f>
        <v>9.9999999999999645E-2</v>
      </c>
      <c r="G15" s="57">
        <f>INDEX('4_s.bezr.pow.'!B3:G29,MATCH(12,B4:B30,0),5)</f>
        <v>7.5</v>
      </c>
      <c r="H15" s="36">
        <f>INDEX('4_s.bezr.pow.'!B3:G29,MATCH(12,B4:B30,0),6)</f>
        <v>-0.70000000000000018</v>
      </c>
    </row>
    <row r="16" spans="1:8" x14ac:dyDescent="0.2">
      <c r="A16" s="39">
        <v>13</v>
      </c>
      <c r="B16" s="10">
        <f>RANK('4_s.bezr.pow.'!C15,'4_s.bezr.pow.'!$C$3:'4_s.bezr.pow.'!$C$29,1)+COUNTIF('4_s.bezr.pow.'!$C$3:'4_s.bezr.pow.'!C15,'4_s.bezr.pow.'!C15)-1</f>
        <v>15</v>
      </c>
      <c r="C16" s="8" t="str">
        <f>INDEX('4_s.bezr.pow.'!B3:G29,MATCH(13,B4:B30,0),1)</f>
        <v>Powiat lubaczowski</v>
      </c>
      <c r="D16" s="12">
        <f>INDEX('4_s.bezr.pow.'!B3:G29,MATCH(13,B4:B30,0),2)</f>
        <v>7</v>
      </c>
      <c r="E16" s="57">
        <f>INDEX('4_s.bezr.pow.'!B3:G29,MATCH(13,B4:B30,0),3)</f>
        <v>7.2</v>
      </c>
      <c r="F16" s="36">
        <f>INDEX('4_s.bezr.pow.'!B3:G29,MATCH(13,B4:B30,0),4)</f>
        <v>-0.20000000000000018</v>
      </c>
      <c r="G16" s="57">
        <f>INDEX('4_s.bezr.pow.'!B3:G29,MATCH(13,B4:B30,0),5)</f>
        <v>8.4</v>
      </c>
      <c r="H16" s="36">
        <f>INDEX('4_s.bezr.pow.'!B3:G29,MATCH(13,B4:B30,0),6)</f>
        <v>-1.4000000000000004</v>
      </c>
    </row>
    <row r="17" spans="1:8" x14ac:dyDescent="0.2">
      <c r="A17" s="39">
        <v>14</v>
      </c>
      <c r="B17" s="10">
        <f>RANK('4_s.bezr.pow.'!C16,'4_s.bezr.pow.'!$C$3:'4_s.bezr.pow.'!$C$29,1)+COUNTIF('4_s.bezr.pow.'!$C$3:'4_s.bezr.pow.'!C16,'4_s.bezr.pow.'!C16)-1</f>
        <v>3</v>
      </c>
      <c r="C17" s="8" t="str">
        <f>INDEX('4_s.bezr.pow.'!B3:G29,MATCH(14,B4:B30,0),1)</f>
        <v>PODKARPACKIE</v>
      </c>
      <c r="D17" s="12">
        <f>INDEX('4_s.bezr.pow.'!B3:G29,MATCH(14,B4:B30,0),2)</f>
        <v>7.3</v>
      </c>
      <c r="E17" s="57">
        <f>INDEX('4_s.bezr.pow.'!B3:G29,MATCH(14,B4:B30,0),3)</f>
        <v>7.3</v>
      </c>
      <c r="F17" s="36">
        <f>INDEX('4_s.bezr.pow.'!B3:G29,MATCH(14,B4:B30,0),4)</f>
        <v>0</v>
      </c>
      <c r="G17" s="57">
        <f>INDEX('4_s.bezr.pow.'!B3:G29,MATCH(14,B4:B30,0),5)</f>
        <v>8.5</v>
      </c>
      <c r="H17" s="36">
        <f>INDEX('4_s.bezr.pow.'!B3:G29,MATCH(14,B4:B30,0),6)</f>
        <v>-1.2000000000000002</v>
      </c>
    </row>
    <row r="18" spans="1:8" x14ac:dyDescent="0.2">
      <c r="A18" s="39">
        <v>15</v>
      </c>
      <c r="B18" s="10">
        <f>RANK('4_s.bezr.pow.'!C17,'4_s.bezr.pow.'!$C$3:'4_s.bezr.pow.'!$C$29,1)+COUNTIF('4_s.bezr.pow.'!$C$3:'4_s.bezr.pow.'!C17,'4_s.bezr.pow.'!C17)-1</f>
        <v>26</v>
      </c>
      <c r="C18" s="8" t="str">
        <f>INDEX('4_s.bezr.pow.'!B3:G29,MATCH(15,B4:B30,0),1)</f>
        <v>Powiat łańcucki</v>
      </c>
      <c r="D18" s="12">
        <f>INDEX('4_s.bezr.pow.'!B3:G29,MATCH(15,B4:B30,0),2)</f>
        <v>8.6</v>
      </c>
      <c r="E18" s="57">
        <f>INDEX('4_s.bezr.pow.'!B3:G29,MATCH(15,B4:B30,0),3)</f>
        <v>8.8000000000000007</v>
      </c>
      <c r="F18" s="36">
        <f>INDEX('4_s.bezr.pow.'!B3:G29,MATCH(15,B4:B30,0),4)</f>
        <v>-0.20000000000000107</v>
      </c>
      <c r="G18" s="57">
        <f>INDEX('4_s.bezr.pow.'!B3:G29,MATCH(15,B4:B30,0),5)</f>
        <v>10.5</v>
      </c>
      <c r="H18" s="36">
        <f>INDEX('4_s.bezr.pow.'!B3:G29,MATCH(15,B4:B30,0),6)</f>
        <v>-1.9000000000000004</v>
      </c>
    </row>
    <row r="19" spans="1:8" x14ac:dyDescent="0.2">
      <c r="A19" s="39">
        <v>16</v>
      </c>
      <c r="B19" s="10">
        <f>RANK('4_s.bezr.pow.'!C18,'4_s.bezr.pow.'!$C$3:'4_s.bezr.pow.'!$C$29,1)+COUNTIF('4_s.bezr.pow.'!$C$3:'4_s.bezr.pow.'!C18,'4_s.bezr.pow.'!C18)-1</f>
        <v>21</v>
      </c>
      <c r="C19" s="8" t="str">
        <f>INDEX('4_s.bezr.pow.'!B3:G29,MATCH(16,B4:B30,0),1)</f>
        <v>Powiat jarosławski</v>
      </c>
      <c r="D19" s="12">
        <f>INDEX('4_s.bezr.pow.'!B3:G29,MATCH(16,B4:B30,0),2)</f>
        <v>8.9</v>
      </c>
      <c r="E19" s="57">
        <f>INDEX('4_s.bezr.pow.'!B3:G29,MATCH(16,B4:B30,0),3)</f>
        <v>8.9</v>
      </c>
      <c r="F19" s="36">
        <f>INDEX('4_s.bezr.pow.'!B3:G29,MATCH(16,B4:B30,0),4)</f>
        <v>0</v>
      </c>
      <c r="G19" s="57">
        <f>INDEX('4_s.bezr.pow.'!B3:G29,MATCH(16,B4:B30,0),5)</f>
        <v>10.8</v>
      </c>
      <c r="H19" s="36">
        <f>INDEX('4_s.bezr.pow.'!B3:G29,MATCH(16,B4:B30,0),6)</f>
        <v>-1.9000000000000004</v>
      </c>
    </row>
    <row r="20" spans="1:8" x14ac:dyDescent="0.2">
      <c r="A20" s="39">
        <v>17</v>
      </c>
      <c r="B20" s="10">
        <f>RANK('4_s.bezr.pow.'!C19,'4_s.bezr.pow.'!$C$3:'4_s.bezr.pow.'!$C$29,1)+COUNTIF('4_s.bezr.pow.'!$C$3:'4_s.bezr.pow.'!C19,'4_s.bezr.pow.'!C19)-1</f>
        <v>19</v>
      </c>
      <c r="C20" s="8" t="str">
        <f>INDEX('4_s.bezr.pow.'!B3:G29,MATCH(17,B4:B30,0),1)</f>
        <v>Powiat jasielski</v>
      </c>
      <c r="D20" s="12">
        <f>INDEX('4_s.bezr.pow.'!B3:G29,MATCH(17,B4:B30,0),2)</f>
        <v>9.1</v>
      </c>
      <c r="E20" s="57">
        <f>INDEX('4_s.bezr.pow.'!B3:G29,MATCH(17,B4:B30,0),3)</f>
        <v>9.1</v>
      </c>
      <c r="F20" s="36">
        <f>INDEX('4_s.bezr.pow.'!B3:G29,MATCH(17,B4:B30,0),4)</f>
        <v>0</v>
      </c>
      <c r="G20" s="57">
        <f>INDEX('4_s.bezr.pow.'!B3:G29,MATCH(17,B4:B30,0),5)</f>
        <v>10.5</v>
      </c>
      <c r="H20" s="36">
        <f>INDEX('4_s.bezr.pow.'!B3:G29,MATCH(17,B4:B30,0),6)</f>
        <v>-1.4000000000000004</v>
      </c>
    </row>
    <row r="21" spans="1:8" x14ac:dyDescent="0.2">
      <c r="A21" s="39">
        <v>18</v>
      </c>
      <c r="B21" s="10">
        <f>RANK('4_s.bezr.pow.'!C20,'4_s.bezr.pow.'!$C$3:'4_s.bezr.pow.'!$C$29,1)+COUNTIF('4_s.bezr.pow.'!$C$3:'4_s.bezr.pow.'!C20,'4_s.bezr.pow.'!C20)-1</f>
        <v>20</v>
      </c>
      <c r="C21" s="8" t="str">
        <f>INDEX('4_s.bezr.pow.'!B3:G29,MATCH(18,B4:B30,0),1)</f>
        <v>Powiat m.Przemyśl</v>
      </c>
      <c r="D21" s="12">
        <f>INDEX('4_s.bezr.pow.'!B3:G29,MATCH(18,B4:B30,0),2)</f>
        <v>9.4</v>
      </c>
      <c r="E21" s="57">
        <f>INDEX('4_s.bezr.pow.'!B3:G29,MATCH(18,B4:B30,0),3)</f>
        <v>9.6999999999999993</v>
      </c>
      <c r="F21" s="36">
        <f>INDEX('4_s.bezr.pow.'!B3:G29,MATCH(18,B4:B30,0),4)</f>
        <v>-0.29999999999999893</v>
      </c>
      <c r="G21" s="57">
        <f>INDEX('4_s.bezr.pow.'!B3:G29,MATCH(18,B4:B30,0),5)</f>
        <v>11</v>
      </c>
      <c r="H21" s="36">
        <f>INDEX('4_s.bezr.pow.'!B3:G29,MATCH(18,B4:B30,0),6)</f>
        <v>-1.5999999999999996</v>
      </c>
    </row>
    <row r="22" spans="1:8" x14ac:dyDescent="0.2">
      <c r="A22" s="39">
        <v>19</v>
      </c>
      <c r="B22" s="10">
        <f>RANK('4_s.bezr.pow.'!C21,'4_s.bezr.pow.'!$C$3:'4_s.bezr.pow.'!$C$29,1)+COUNTIF('4_s.bezr.pow.'!$C$3:'4_s.bezr.pow.'!C21,'4_s.bezr.pow.'!C21)-1</f>
        <v>10</v>
      </c>
      <c r="C22" s="8" t="str">
        <f>INDEX('4_s.bezr.pow.'!B3:G29,MATCH(19,B4:B30,0),1)</f>
        <v>Powiat przeworski</v>
      </c>
      <c r="D22" s="12">
        <f>INDEX('4_s.bezr.pow.'!B3:G29,MATCH(19,B4:B30,0),2)</f>
        <v>10.4</v>
      </c>
      <c r="E22" s="57">
        <f>INDEX('4_s.bezr.pow.'!B3:G29,MATCH(19,B4:B30,0),3)</f>
        <v>10.4</v>
      </c>
      <c r="F22" s="36">
        <f>INDEX('4_s.bezr.pow.'!B3:G29,MATCH(19,B4:B30,0),4)</f>
        <v>0</v>
      </c>
      <c r="G22" s="57">
        <f>INDEX('4_s.bezr.pow.'!B3:G29,MATCH(19,B4:B30,0),5)</f>
        <v>11.4</v>
      </c>
      <c r="H22" s="36">
        <f>INDEX('4_s.bezr.pow.'!B3:G29,MATCH(19,B4:B30,0),6)</f>
        <v>-1</v>
      </c>
    </row>
    <row r="23" spans="1:8" x14ac:dyDescent="0.2">
      <c r="A23" s="39">
        <v>20</v>
      </c>
      <c r="B23" s="10">
        <f>RANK('4_s.bezr.pow.'!C22,'4_s.bezr.pow.'!$C$3:'4_s.bezr.pow.'!$C$29,1)+COUNTIF('4_s.bezr.pow.'!$C$3:'4_s.bezr.pow.'!C22,'4_s.bezr.pow.'!C22)-1</f>
        <v>9</v>
      </c>
      <c r="C23" s="8" t="str">
        <f>INDEX('4_s.bezr.pow.'!B3:G29,MATCH(20,B4:B30,0),1)</f>
        <v>Powiat ropczycko-sędziszowski</v>
      </c>
      <c r="D23" s="12">
        <f>INDEX('4_s.bezr.pow.'!B3:G29,MATCH(20,B4:B30,0),2)</f>
        <v>10.4</v>
      </c>
      <c r="E23" s="57">
        <f>INDEX('4_s.bezr.pow.'!B3:G29,MATCH(20,B4:B30,0),3)</f>
        <v>10.4</v>
      </c>
      <c r="F23" s="36">
        <f>INDEX('4_s.bezr.pow.'!B3:G29,MATCH(20,B4:B30,0),4)</f>
        <v>0</v>
      </c>
      <c r="G23" s="57">
        <f>INDEX('4_s.bezr.pow.'!B3:G29,MATCH(20,B4:B30,0),5)</f>
        <v>11.6</v>
      </c>
      <c r="H23" s="36">
        <f>INDEX('4_s.bezr.pow.'!B3:G29,MATCH(20,B4:B30,0),6)</f>
        <v>-1.1999999999999993</v>
      </c>
    </row>
    <row r="24" spans="1:8" x14ac:dyDescent="0.2">
      <c r="A24" s="39">
        <v>21</v>
      </c>
      <c r="B24" s="10">
        <f>RANK('4_s.bezr.pow.'!C23,'4_s.bezr.pow.'!$C$3:'4_s.bezr.pow.'!$C$29,1)+COUNTIF('4_s.bezr.pow.'!$C$3:'4_s.bezr.pow.'!C23,'4_s.bezr.pow.'!C23)-1</f>
        <v>4</v>
      </c>
      <c r="C24" s="8" t="str">
        <f>INDEX('4_s.bezr.pow.'!B3:G29,MATCH(21,B4:B30,0),1)</f>
        <v>Powiat przemyski</v>
      </c>
      <c r="D24" s="12">
        <f>INDEX('4_s.bezr.pow.'!B3:G29,MATCH(21,B4:B30,0),2)</f>
        <v>10.9</v>
      </c>
      <c r="E24" s="57">
        <f>INDEX('4_s.bezr.pow.'!B3:G29,MATCH(21,B4:B30,0),3)</f>
        <v>11.2</v>
      </c>
      <c r="F24" s="36">
        <f>INDEX('4_s.bezr.pow.'!B3:G29,MATCH(21,B4:B30,0),4)</f>
        <v>-0.29999999999999893</v>
      </c>
      <c r="G24" s="57">
        <f>INDEX('4_s.bezr.pow.'!B3:G29,MATCH(21,B4:B30,0),5)</f>
        <v>12.6</v>
      </c>
      <c r="H24" s="36">
        <f>INDEX('4_s.bezr.pow.'!B3:G29,MATCH(21,B4:B30,0),6)</f>
        <v>-1.6999999999999993</v>
      </c>
    </row>
    <row r="25" spans="1:8" x14ac:dyDescent="0.2">
      <c r="A25" s="39">
        <v>22</v>
      </c>
      <c r="B25" s="10">
        <f>RANK('4_s.bezr.pow.'!C24,'4_s.bezr.pow.'!$C$3:'4_s.bezr.pow.'!$C$29,1)+COUNTIF('4_s.bezr.pow.'!$C$3:'4_s.bezr.pow.'!C24,'4_s.bezr.pow.'!C24)-1</f>
        <v>23</v>
      </c>
      <c r="C25" s="8" t="str">
        <f>INDEX('4_s.bezr.pow.'!B3:G29,MATCH(22,B4:B30,0),1)</f>
        <v>Powiat leżajski</v>
      </c>
      <c r="D25" s="12">
        <f>INDEX('4_s.bezr.pow.'!B3:G29,MATCH(22,B4:B30,0),2)</f>
        <v>11.8</v>
      </c>
      <c r="E25" s="57">
        <f>INDEX('4_s.bezr.pow.'!B3:G29,MATCH(22,B4:B30,0),3)</f>
        <v>12.1</v>
      </c>
      <c r="F25" s="36">
        <f>INDEX('4_s.bezr.pow.'!B3:G29,MATCH(22,B4:B30,0),4)</f>
        <v>-0.29999999999999893</v>
      </c>
      <c r="G25" s="57">
        <f>INDEX('4_s.bezr.pow.'!B3:G29,MATCH(22,B4:B30,0),5)</f>
        <v>13.7</v>
      </c>
      <c r="H25" s="36">
        <f>INDEX('4_s.bezr.pow.'!B3:G29,MATCH(22,B4:B30,0),6)</f>
        <v>-1.8999999999999986</v>
      </c>
    </row>
    <row r="26" spans="1:8" x14ac:dyDescent="0.2">
      <c r="A26" s="39">
        <v>23</v>
      </c>
      <c r="B26" s="10">
        <f>RANK('4_s.bezr.pow.'!C25,'4_s.bezr.pow.'!$C$3:'4_s.bezr.pow.'!$C$29,1)+COUNTIF('4_s.bezr.pow.'!$C$3:'4_s.bezr.pow.'!C25,'4_s.bezr.pow.'!C25)-1</f>
        <v>8</v>
      </c>
      <c r="C26" s="8" t="str">
        <f>INDEX('4_s.bezr.pow.'!B3:G29,MATCH(23,B4:B30,0),1)</f>
        <v>Powiat strzyżowski</v>
      </c>
      <c r="D26" s="12">
        <f>INDEX('4_s.bezr.pow.'!B3:G29,MATCH(23,B4:B30,0),2)</f>
        <v>12.2</v>
      </c>
      <c r="E26" s="57">
        <f>INDEX('4_s.bezr.pow.'!B3:G29,MATCH(23,B4:B30,0),3)</f>
        <v>12.2</v>
      </c>
      <c r="F26" s="36">
        <f>INDEX('4_s.bezr.pow.'!B3:G29,MATCH(23,B4:B30,0),4)</f>
        <v>0</v>
      </c>
      <c r="G26" s="57">
        <f>INDEX('4_s.bezr.pow.'!B3:G29,MATCH(23,B4:B30,0),5)</f>
        <v>13.6</v>
      </c>
      <c r="H26" s="36">
        <f>INDEX('4_s.bezr.pow.'!B3:G29,MATCH(23,B4:B30,0),6)</f>
        <v>-1.4000000000000004</v>
      </c>
    </row>
    <row r="27" spans="1:8" x14ac:dyDescent="0.2">
      <c r="A27" s="39">
        <v>24</v>
      </c>
      <c r="B27" s="10">
        <f>RANK('4_s.bezr.pow.'!C26,'4_s.bezr.pow.'!$C$3:'4_s.bezr.pow.'!$C$29,1)+COUNTIF('4_s.bezr.pow.'!$C$3:'4_s.bezr.pow.'!C26,'4_s.bezr.pow.'!C26)-1</f>
        <v>1</v>
      </c>
      <c r="C27" s="8" t="str">
        <f>INDEX('4_s.bezr.pow.'!B3:G29,MATCH(24,B4:B30,0),1)</f>
        <v>Powiat bieszczadzki</v>
      </c>
      <c r="D27" s="12">
        <f>INDEX('4_s.bezr.pow.'!B3:G29,MATCH(24,B4:B30,0),2)</f>
        <v>12.3</v>
      </c>
      <c r="E27" s="57">
        <f>INDEX('4_s.bezr.pow.'!B3:G29,MATCH(24,B4:B30,0),3)</f>
        <v>12.4</v>
      </c>
      <c r="F27" s="36">
        <f>INDEX('4_s.bezr.pow.'!B3:G29,MATCH(24,B4:B30,0),4)</f>
        <v>-9.9999999999999645E-2</v>
      </c>
      <c r="G27" s="57">
        <f>INDEX('4_s.bezr.pow.'!B3:G29,MATCH(24,B4:B30,0),5)</f>
        <v>13.7</v>
      </c>
      <c r="H27" s="36">
        <f>INDEX('4_s.bezr.pow.'!B3:G29,MATCH(24,B4:B30,0),6)</f>
        <v>-1.3999999999999986</v>
      </c>
    </row>
    <row r="28" spans="1:8" x14ac:dyDescent="0.2">
      <c r="A28" s="39">
        <v>25</v>
      </c>
      <c r="B28" s="10">
        <f>RANK('4_s.bezr.pow.'!C27,'4_s.bezr.pow.'!$C$3:'4_s.bezr.pow.'!$C$29,1)+COUNTIF('4_s.bezr.pow.'!$C$3:'4_s.bezr.pow.'!C27,'4_s.bezr.pow.'!C27)-1</f>
        <v>18</v>
      </c>
      <c r="C28" s="8" t="str">
        <f>INDEX('4_s.bezr.pow.'!B3:G29,MATCH(25,B4:B30,0),1)</f>
        <v>Powiat leski</v>
      </c>
      <c r="D28" s="12">
        <f>INDEX('4_s.bezr.pow.'!B3:G29,MATCH(25,B4:B30,0),2)</f>
        <v>13.8</v>
      </c>
      <c r="E28" s="57">
        <f>INDEX('4_s.bezr.pow.'!B3:G29,MATCH(25,B4:B30,0),3)</f>
        <v>13.8</v>
      </c>
      <c r="F28" s="36">
        <f>INDEX('4_s.bezr.pow.'!B3:G29,MATCH(25,B4:B30,0),4)</f>
        <v>0</v>
      </c>
      <c r="G28" s="57">
        <f>INDEX('4_s.bezr.pow.'!B3:G29,MATCH(25,B4:B30,0),5)</f>
        <v>14</v>
      </c>
      <c r="H28" s="36">
        <f>INDEX('4_s.bezr.pow.'!B3:G29,MATCH(25,B4:B30,0),6)</f>
        <v>-0.19999999999999929</v>
      </c>
    </row>
    <row r="29" spans="1:8" ht="15" x14ac:dyDescent="0.25">
      <c r="A29" s="39">
        <v>26</v>
      </c>
      <c r="B29" s="34">
        <f>RANK('4_s.bezr.pow.'!C28,'4_s.bezr.pow.'!$C$3:'4_s.bezr.pow.'!$C$29,1)+COUNTIF('4_s.bezr.pow.'!$C$3:'4_s.bezr.pow.'!C28,'4_s.bezr.pow.'!C28)-1</f>
        <v>5</v>
      </c>
      <c r="C29" s="35" t="str">
        <f>INDEX('4_s.bezr.pow.'!B3:G29,MATCH(26,B4:B30,0),1)</f>
        <v>Powiat niżański</v>
      </c>
      <c r="D29" s="61">
        <f>INDEX('4_s.bezr.pow.'!B3:G29,MATCH(26,B4:B30,0),2)</f>
        <v>13.9</v>
      </c>
      <c r="E29" s="60">
        <f>INDEX('4_s.bezr.pow.'!B3:G29,MATCH(26,B4:B30,0),3)</f>
        <v>13.9</v>
      </c>
      <c r="F29" s="66">
        <f>INDEX('4_s.bezr.pow.'!B3:G29,MATCH(26,B4:B30,0),4)</f>
        <v>0</v>
      </c>
      <c r="G29" s="60">
        <f>INDEX('4_s.bezr.pow.'!B3:G29,MATCH(26,B4:B30,0),5)</f>
        <v>15.1</v>
      </c>
      <c r="H29" s="66">
        <f>INDEX('4_s.bezr.pow.'!B3:G29,MATCH(26,B4:B30,0),6)</f>
        <v>-1.1999999999999993</v>
      </c>
    </row>
    <row r="30" spans="1:8" x14ac:dyDescent="0.2">
      <c r="A30" s="39">
        <v>27</v>
      </c>
      <c r="B30" s="67">
        <f>RANK('4_s.bezr.pow.'!C29,'4_s.bezr.pow.'!$C$3:'4_s.bezr.pow.'!$C$29,1)+COUNTIF('4_s.bezr.pow.'!$C$3:'4_s.bezr.pow.'!C29,'4_s.bezr.pow.'!C29)-1</f>
        <v>11</v>
      </c>
      <c r="C30" s="68" t="str">
        <f>INDEX('4_s.bezr.pow.'!B3:G29,MATCH(27,B4:B30,0),1)</f>
        <v>Powiat brzozowski</v>
      </c>
      <c r="D30" s="12">
        <f>INDEX('4_s.bezr.pow.'!B3:G29,MATCH(27,B4:B30,0),2)</f>
        <v>14.1</v>
      </c>
      <c r="E30" s="57">
        <f>INDEX('4_s.bezr.pow.'!B3:G29,MATCH(27,B4:B30,0),3)</f>
        <v>14</v>
      </c>
      <c r="F30" s="12">
        <f>INDEX('4_s.bezr.pow.'!B3:G29,MATCH(27,B4:B30,0),4)</f>
        <v>9.9999999999999645E-2</v>
      </c>
      <c r="G30" s="57">
        <f>INDEX('4_s.bezr.pow.'!B3:G29,MATCH(27,B4:B30,0),5)</f>
        <v>14.5</v>
      </c>
      <c r="H30" s="12">
        <f>INDEX('4_s.bezr.pow.'!B3:G29,MATCH(27,B4:B30,0),6)</f>
        <v>-0.40000000000000036</v>
      </c>
    </row>
    <row r="31" spans="1:8" x14ac:dyDescent="0.2">
      <c r="C31" s="80" t="s">
        <v>92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28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28515625" style="3" customWidth="1"/>
    <col min="3" max="3" width="16.85546875" style="3" customWidth="1"/>
    <col min="4" max="4" width="16.5703125" style="3" customWidth="1"/>
    <col min="5" max="5" width="17.140625" style="3" customWidth="1"/>
    <col min="6" max="6" width="17.28515625" style="3" customWidth="1"/>
    <col min="7" max="7" width="17.5703125" style="3" customWidth="1"/>
    <col min="8" max="8" width="3" style="3" customWidth="1"/>
    <col min="9" max="9" width="23.7109375" style="3" customWidth="1"/>
    <col min="10" max="10" width="14.5703125" style="3" customWidth="1"/>
    <col min="11" max="11" width="16.85546875" style="3" customWidth="1"/>
    <col min="12" max="12" width="14.42578125" style="3" customWidth="1"/>
    <col min="13" max="14" width="3" style="3" customWidth="1"/>
    <col min="15" max="16384" width="9.140625" style="3"/>
  </cols>
  <sheetData>
    <row r="1" spans="1:12" x14ac:dyDescent="0.2">
      <c r="B1" s="2" t="s">
        <v>31</v>
      </c>
      <c r="I1" s="3" t="s">
        <v>86</v>
      </c>
    </row>
    <row r="2" spans="1:12" ht="86.25" customHeight="1" x14ac:dyDescent="0.2">
      <c r="B2" s="5" t="s">
        <v>27</v>
      </c>
      <c r="C2" s="6" t="s">
        <v>117</v>
      </c>
      <c r="D2" s="7" t="s">
        <v>103</v>
      </c>
      <c r="E2" s="6" t="s">
        <v>28</v>
      </c>
      <c r="F2" s="7" t="s">
        <v>118</v>
      </c>
      <c r="G2" s="6" t="s">
        <v>26</v>
      </c>
      <c r="I2" s="5" t="s">
        <v>27</v>
      </c>
      <c r="J2" s="6" t="str">
        <f>T('1_bezr.'!C2)</f>
        <v>liczba bezrobotnych ogółem stan na 31 VII '22 r.</v>
      </c>
      <c r="K2" s="6" t="str">
        <f>T(C2)</f>
        <v>liczba bezrobotnych zam. na wsi stan na 31 VII '22 r.</v>
      </c>
      <c r="L2" s="6" t="s">
        <v>96</v>
      </c>
    </row>
    <row r="3" spans="1:12" x14ac:dyDescent="0.2">
      <c r="A3" s="3">
        <v>1</v>
      </c>
      <c r="B3" s="8" t="s">
        <v>0</v>
      </c>
      <c r="C3" s="21">
        <v>642</v>
      </c>
      <c r="D3" s="9">
        <v>652</v>
      </c>
      <c r="E3" s="10">
        <f t="shared" ref="E3:E23" si="0">SUM(C3)-D3</f>
        <v>-10</v>
      </c>
      <c r="F3" s="9">
        <v>697</v>
      </c>
      <c r="G3" s="10">
        <f t="shared" ref="G3:G23" si="1">SUM(C3)-F3</f>
        <v>-55</v>
      </c>
      <c r="H3" s="11"/>
      <c r="I3" s="8" t="s">
        <v>0</v>
      </c>
      <c r="J3" s="10">
        <f>SUM('1_bezr.'!C3)</f>
        <v>1019</v>
      </c>
      <c r="K3" s="10">
        <f>SUM(C3)</f>
        <v>642</v>
      </c>
      <c r="L3" s="12">
        <f t="shared" ref="L3:L23" si="2">SUM(K3)/J3*100</f>
        <v>63.002944062806677</v>
      </c>
    </row>
    <row r="4" spans="1:12" x14ac:dyDescent="0.2">
      <c r="A4" s="3">
        <v>2</v>
      </c>
      <c r="B4" s="8" t="s">
        <v>1</v>
      </c>
      <c r="C4" s="22">
        <v>3612</v>
      </c>
      <c r="D4" s="9">
        <v>3596</v>
      </c>
      <c r="E4" s="10">
        <f t="shared" si="0"/>
        <v>16</v>
      </c>
      <c r="F4" s="9">
        <v>3695</v>
      </c>
      <c r="G4" s="10">
        <f t="shared" si="1"/>
        <v>-83</v>
      </c>
      <c r="H4" s="11"/>
      <c r="I4" s="8" t="s">
        <v>1</v>
      </c>
      <c r="J4" s="10">
        <f>SUM('1_bezr.'!C4)</f>
        <v>3927</v>
      </c>
      <c r="K4" s="10">
        <f t="shared" ref="K4:K22" si="3">SUM(C4)</f>
        <v>3612</v>
      </c>
      <c r="L4" s="12">
        <f t="shared" si="2"/>
        <v>91.978609625668454</v>
      </c>
    </row>
    <row r="5" spans="1:12" x14ac:dyDescent="0.2">
      <c r="A5" s="3">
        <v>3</v>
      </c>
      <c r="B5" s="8" t="s">
        <v>2</v>
      </c>
      <c r="C5" s="23">
        <v>1431</v>
      </c>
      <c r="D5" s="9">
        <v>1408</v>
      </c>
      <c r="E5" s="10">
        <f t="shared" si="0"/>
        <v>23</v>
      </c>
      <c r="F5" s="9">
        <v>1777</v>
      </c>
      <c r="G5" s="10">
        <f t="shared" si="1"/>
        <v>-346</v>
      </c>
      <c r="H5" s="11"/>
      <c r="I5" s="8" t="s">
        <v>2</v>
      </c>
      <c r="J5" s="10">
        <f>SUM('1_bezr.'!C5)</f>
        <v>2426</v>
      </c>
      <c r="K5" s="10">
        <f t="shared" si="3"/>
        <v>1431</v>
      </c>
      <c r="L5" s="12">
        <f t="shared" si="2"/>
        <v>58.985985160758446</v>
      </c>
    </row>
    <row r="6" spans="1:12" x14ac:dyDescent="0.2">
      <c r="A6" s="3">
        <v>4</v>
      </c>
      <c r="B6" s="8" t="s">
        <v>3</v>
      </c>
      <c r="C6" s="23">
        <v>2863</v>
      </c>
      <c r="D6" s="9">
        <v>2891</v>
      </c>
      <c r="E6" s="10">
        <f t="shared" si="0"/>
        <v>-28</v>
      </c>
      <c r="F6" s="9">
        <v>3541</v>
      </c>
      <c r="G6" s="10">
        <f t="shared" si="1"/>
        <v>-678</v>
      </c>
      <c r="H6" s="11"/>
      <c r="I6" s="8" t="s">
        <v>3</v>
      </c>
      <c r="J6" s="10">
        <f>SUM('1_bezr.'!C6)</f>
        <v>4643</v>
      </c>
      <c r="K6" s="10">
        <f t="shared" si="3"/>
        <v>2863</v>
      </c>
      <c r="L6" s="12">
        <f t="shared" si="2"/>
        <v>61.662718070213231</v>
      </c>
    </row>
    <row r="7" spans="1:12" x14ac:dyDescent="0.2">
      <c r="A7" s="3">
        <v>5</v>
      </c>
      <c r="B7" s="8" t="s">
        <v>4</v>
      </c>
      <c r="C7" s="23">
        <v>3299</v>
      </c>
      <c r="D7" s="9">
        <v>3326</v>
      </c>
      <c r="E7" s="10">
        <f t="shared" si="0"/>
        <v>-27</v>
      </c>
      <c r="F7" s="9">
        <v>3833</v>
      </c>
      <c r="G7" s="10">
        <f t="shared" si="1"/>
        <v>-534</v>
      </c>
      <c r="H7" s="11"/>
      <c r="I7" s="8" t="s">
        <v>4</v>
      </c>
      <c r="J7" s="10">
        <f>SUM('1_bezr.'!C7)</f>
        <v>4746</v>
      </c>
      <c r="K7" s="10">
        <f t="shared" si="3"/>
        <v>3299</v>
      </c>
      <c r="L7" s="12">
        <f t="shared" si="2"/>
        <v>69.51116729877792</v>
      </c>
    </row>
    <row r="8" spans="1:12" x14ac:dyDescent="0.2">
      <c r="A8" s="3">
        <v>6</v>
      </c>
      <c r="B8" s="8" t="s">
        <v>5</v>
      </c>
      <c r="C8" s="23">
        <v>1423</v>
      </c>
      <c r="D8" s="9">
        <v>1405</v>
      </c>
      <c r="E8" s="10">
        <f t="shared" si="0"/>
        <v>18</v>
      </c>
      <c r="F8" s="9">
        <v>1596</v>
      </c>
      <c r="G8" s="10">
        <f t="shared" si="1"/>
        <v>-173</v>
      </c>
      <c r="H8" s="11"/>
      <c r="I8" s="8" t="s">
        <v>5</v>
      </c>
      <c r="J8" s="10">
        <f>SUM('1_bezr.'!C8)</f>
        <v>1636</v>
      </c>
      <c r="K8" s="10">
        <f t="shared" si="3"/>
        <v>1423</v>
      </c>
      <c r="L8" s="12">
        <f t="shared" si="2"/>
        <v>86.980440097799516</v>
      </c>
    </row>
    <row r="9" spans="1:12" x14ac:dyDescent="0.2">
      <c r="A9" s="3">
        <v>7</v>
      </c>
      <c r="B9" s="13" t="s">
        <v>6</v>
      </c>
      <c r="C9" s="24">
        <v>1678</v>
      </c>
      <c r="D9" s="9">
        <v>1648</v>
      </c>
      <c r="E9" s="10">
        <f t="shared" si="0"/>
        <v>30</v>
      </c>
      <c r="F9" s="9">
        <v>1982</v>
      </c>
      <c r="G9" s="10">
        <f t="shared" si="1"/>
        <v>-304</v>
      </c>
      <c r="H9" s="11"/>
      <c r="I9" s="13" t="s">
        <v>6</v>
      </c>
      <c r="J9" s="10">
        <f>SUM('1_bezr.'!C9)</f>
        <v>1859</v>
      </c>
      <c r="K9" s="10">
        <f t="shared" si="3"/>
        <v>1678</v>
      </c>
      <c r="L9" s="12">
        <f t="shared" si="2"/>
        <v>90.263582571274881</v>
      </c>
    </row>
    <row r="10" spans="1:12" x14ac:dyDescent="0.2">
      <c r="A10" s="3">
        <v>8</v>
      </c>
      <c r="B10" s="8" t="s">
        <v>7</v>
      </c>
      <c r="C10" s="25">
        <v>1262</v>
      </c>
      <c r="D10" s="9">
        <v>1285</v>
      </c>
      <c r="E10" s="10">
        <f t="shared" si="0"/>
        <v>-23</v>
      </c>
      <c r="F10" s="9">
        <v>1286</v>
      </c>
      <c r="G10" s="10">
        <f>SUM(C10)-F10</f>
        <v>-24</v>
      </c>
      <c r="H10" s="11"/>
      <c r="I10" s="8" t="s">
        <v>7</v>
      </c>
      <c r="J10" s="10">
        <f>SUM('1_bezr.'!C10)</f>
        <v>1559</v>
      </c>
      <c r="K10" s="10">
        <f>SUM(C10)</f>
        <v>1262</v>
      </c>
      <c r="L10" s="12">
        <f t="shared" si="2"/>
        <v>80.949326491340599</v>
      </c>
    </row>
    <row r="11" spans="1:12" x14ac:dyDescent="0.2">
      <c r="A11" s="3">
        <v>9</v>
      </c>
      <c r="B11" s="8" t="s">
        <v>8</v>
      </c>
      <c r="C11" s="25">
        <v>2427</v>
      </c>
      <c r="D11" s="9">
        <v>2494</v>
      </c>
      <c r="E11" s="10">
        <f t="shared" si="0"/>
        <v>-67</v>
      </c>
      <c r="F11" s="9">
        <v>2861</v>
      </c>
      <c r="G11" s="10">
        <f t="shared" si="1"/>
        <v>-434</v>
      </c>
      <c r="H11" s="11"/>
      <c r="I11" s="8" t="s">
        <v>8</v>
      </c>
      <c r="J11" s="10">
        <f>SUM('1_bezr.'!C11)</f>
        <v>3195</v>
      </c>
      <c r="K11" s="10">
        <f t="shared" si="3"/>
        <v>2427</v>
      </c>
      <c r="L11" s="12">
        <f t="shared" si="2"/>
        <v>75.962441314553985</v>
      </c>
    </row>
    <row r="12" spans="1:12" x14ac:dyDescent="0.2">
      <c r="A12" s="3">
        <v>10</v>
      </c>
      <c r="B12" s="8" t="s">
        <v>9</v>
      </c>
      <c r="C12" s="25">
        <v>1047</v>
      </c>
      <c r="D12" s="9">
        <v>1081</v>
      </c>
      <c r="E12" s="10">
        <f t="shared" si="0"/>
        <v>-34</v>
      </c>
      <c r="F12" s="9">
        <v>1254</v>
      </c>
      <c r="G12" s="10">
        <f t="shared" si="1"/>
        <v>-207</v>
      </c>
      <c r="H12" s="11"/>
      <c r="I12" s="8" t="s">
        <v>9</v>
      </c>
      <c r="J12" s="10">
        <f>SUM('1_bezr.'!C12)</f>
        <v>1613</v>
      </c>
      <c r="K12" s="10">
        <f t="shared" si="3"/>
        <v>1047</v>
      </c>
      <c r="L12" s="12">
        <f t="shared" si="2"/>
        <v>64.910105393676375</v>
      </c>
    </row>
    <row r="13" spans="1:12" x14ac:dyDescent="0.2">
      <c r="A13" s="3">
        <v>11</v>
      </c>
      <c r="B13" s="8" t="s">
        <v>10</v>
      </c>
      <c r="C13" s="25">
        <v>2175</v>
      </c>
      <c r="D13" s="9">
        <v>2246</v>
      </c>
      <c r="E13" s="10">
        <f t="shared" si="0"/>
        <v>-71</v>
      </c>
      <c r="F13" s="9">
        <v>2744</v>
      </c>
      <c r="G13" s="10">
        <f t="shared" si="1"/>
        <v>-569</v>
      </c>
      <c r="H13" s="11"/>
      <c r="I13" s="8" t="s">
        <v>10</v>
      </c>
      <c r="J13" s="10">
        <f>SUM('1_bezr.'!C13)</f>
        <v>2782</v>
      </c>
      <c r="K13" s="10">
        <f t="shared" si="3"/>
        <v>2175</v>
      </c>
      <c r="L13" s="12">
        <f t="shared" si="2"/>
        <v>78.181164629762762</v>
      </c>
    </row>
    <row r="14" spans="1:12" x14ac:dyDescent="0.2">
      <c r="A14" s="3">
        <v>12</v>
      </c>
      <c r="B14" s="8" t="s">
        <v>11</v>
      </c>
      <c r="C14" s="25">
        <v>1246</v>
      </c>
      <c r="D14" s="9">
        <v>1205</v>
      </c>
      <c r="E14" s="10">
        <f t="shared" si="0"/>
        <v>41</v>
      </c>
      <c r="F14" s="9">
        <v>1547</v>
      </c>
      <c r="G14" s="10">
        <f t="shared" si="1"/>
        <v>-301</v>
      </c>
      <c r="H14" s="11"/>
      <c r="I14" s="8" t="s">
        <v>11</v>
      </c>
      <c r="J14" s="10">
        <f>SUM('1_bezr.'!C14)</f>
        <v>2646</v>
      </c>
      <c r="K14" s="10">
        <f t="shared" si="3"/>
        <v>1246</v>
      </c>
      <c r="L14" s="12">
        <f t="shared" si="2"/>
        <v>47.089947089947088</v>
      </c>
    </row>
    <row r="15" spans="1:12" x14ac:dyDescent="0.2">
      <c r="A15" s="3">
        <v>13</v>
      </c>
      <c r="B15" s="8" t="s">
        <v>12</v>
      </c>
      <c r="C15" s="25">
        <v>2033</v>
      </c>
      <c r="D15" s="9">
        <v>2028</v>
      </c>
      <c r="E15" s="10">
        <f t="shared" si="0"/>
        <v>5</v>
      </c>
      <c r="F15" s="9">
        <v>2241</v>
      </c>
      <c r="G15" s="10">
        <f t="shared" si="1"/>
        <v>-208</v>
      </c>
      <c r="H15" s="11"/>
      <c r="I15" s="8" t="s">
        <v>12</v>
      </c>
      <c r="J15" s="10">
        <f>SUM('1_bezr.'!C15)</f>
        <v>3156</v>
      </c>
      <c r="K15" s="10">
        <f t="shared" si="3"/>
        <v>2033</v>
      </c>
      <c r="L15" s="12">
        <f t="shared" si="2"/>
        <v>64.416983523447399</v>
      </c>
    </row>
    <row r="16" spans="1:12" x14ac:dyDescent="0.2">
      <c r="A16" s="3">
        <v>14</v>
      </c>
      <c r="B16" s="8" t="s">
        <v>13</v>
      </c>
      <c r="C16" s="25">
        <v>2954</v>
      </c>
      <c r="D16" s="9">
        <v>3047</v>
      </c>
      <c r="E16" s="10">
        <f t="shared" si="0"/>
        <v>-93</v>
      </c>
      <c r="F16" s="9">
        <v>3483</v>
      </c>
      <c r="G16" s="10">
        <f t="shared" si="1"/>
        <v>-529</v>
      </c>
      <c r="H16" s="11"/>
      <c r="I16" s="8" t="s">
        <v>13</v>
      </c>
      <c r="J16" s="10">
        <f>SUM('1_bezr.'!C16)</f>
        <v>2975</v>
      </c>
      <c r="K16" s="10">
        <f t="shared" si="3"/>
        <v>2954</v>
      </c>
      <c r="L16" s="12">
        <f t="shared" si="2"/>
        <v>99.294117647058826</v>
      </c>
    </row>
    <row r="17" spans="1:13" x14ac:dyDescent="0.2">
      <c r="A17" s="3">
        <v>15</v>
      </c>
      <c r="B17" s="8" t="s">
        <v>14</v>
      </c>
      <c r="C17" s="25">
        <v>2645</v>
      </c>
      <c r="D17" s="9">
        <v>2640</v>
      </c>
      <c r="E17" s="10">
        <f t="shared" si="0"/>
        <v>5</v>
      </c>
      <c r="F17" s="9">
        <v>2870</v>
      </c>
      <c r="G17" s="10">
        <f t="shared" si="1"/>
        <v>-225</v>
      </c>
      <c r="H17" s="11"/>
      <c r="I17" s="8" t="s">
        <v>14</v>
      </c>
      <c r="J17" s="10">
        <f>SUM('1_bezr.'!C17)</f>
        <v>3501</v>
      </c>
      <c r="K17" s="10">
        <f t="shared" si="3"/>
        <v>2645</v>
      </c>
      <c r="L17" s="12">
        <f t="shared" si="2"/>
        <v>75.54984290202799</v>
      </c>
      <c r="M17" s="14"/>
    </row>
    <row r="18" spans="1:13" x14ac:dyDescent="0.2">
      <c r="A18" s="3">
        <v>16</v>
      </c>
      <c r="B18" s="8" t="s">
        <v>15</v>
      </c>
      <c r="C18" s="25">
        <v>1932</v>
      </c>
      <c r="D18" s="9">
        <v>1936</v>
      </c>
      <c r="E18" s="10">
        <f t="shared" si="0"/>
        <v>-4</v>
      </c>
      <c r="F18" s="9">
        <v>2105</v>
      </c>
      <c r="G18" s="10">
        <f t="shared" si="1"/>
        <v>-173</v>
      </c>
      <c r="H18" s="11"/>
      <c r="I18" s="8" t="s">
        <v>15</v>
      </c>
      <c r="J18" s="10">
        <f>SUM('1_bezr.'!C18)</f>
        <v>2964</v>
      </c>
      <c r="K18" s="10">
        <f t="shared" si="3"/>
        <v>1932</v>
      </c>
      <c r="L18" s="12">
        <f t="shared" si="2"/>
        <v>65.18218623481782</v>
      </c>
    </row>
    <row r="19" spans="1:13" x14ac:dyDescent="0.2">
      <c r="A19" s="3">
        <v>17</v>
      </c>
      <c r="B19" s="8" t="s">
        <v>16</v>
      </c>
      <c r="C19" s="25">
        <v>3921</v>
      </c>
      <c r="D19" s="9">
        <v>3969</v>
      </c>
      <c r="E19" s="10">
        <f t="shared" si="0"/>
        <v>-48</v>
      </c>
      <c r="F19" s="9">
        <v>4954</v>
      </c>
      <c r="G19" s="10">
        <f t="shared" si="1"/>
        <v>-1033</v>
      </c>
      <c r="H19" s="11"/>
      <c r="I19" s="8" t="s">
        <v>16</v>
      </c>
      <c r="J19" s="10">
        <f>SUM('1_bezr.'!C19)</f>
        <v>4884</v>
      </c>
      <c r="K19" s="10">
        <f t="shared" si="3"/>
        <v>3921</v>
      </c>
      <c r="L19" s="12">
        <f t="shared" si="2"/>
        <v>80.282555282555279</v>
      </c>
    </row>
    <row r="20" spans="1:13" x14ac:dyDescent="0.2">
      <c r="A20" s="3">
        <v>18</v>
      </c>
      <c r="B20" s="8" t="s">
        <v>17</v>
      </c>
      <c r="C20" s="25">
        <v>1360</v>
      </c>
      <c r="D20" s="9">
        <v>1353</v>
      </c>
      <c r="E20" s="10">
        <f t="shared" si="0"/>
        <v>7</v>
      </c>
      <c r="F20" s="9">
        <v>1494</v>
      </c>
      <c r="G20" s="10">
        <f t="shared" si="1"/>
        <v>-134</v>
      </c>
      <c r="H20" s="11"/>
      <c r="I20" s="8" t="s">
        <v>17</v>
      </c>
      <c r="J20" s="10">
        <f>SUM('1_bezr.'!C20)</f>
        <v>2415</v>
      </c>
      <c r="K20" s="10">
        <f t="shared" si="3"/>
        <v>1360</v>
      </c>
      <c r="L20" s="12">
        <f t="shared" si="2"/>
        <v>56.314699792960667</v>
      </c>
    </row>
    <row r="21" spans="1:13" x14ac:dyDescent="0.2">
      <c r="A21" s="3">
        <v>19</v>
      </c>
      <c r="B21" s="8" t="s">
        <v>18</v>
      </c>
      <c r="C21" s="25">
        <v>812</v>
      </c>
      <c r="D21" s="9">
        <v>763</v>
      </c>
      <c r="E21" s="10">
        <f t="shared" si="0"/>
        <v>49</v>
      </c>
      <c r="F21" s="9">
        <v>933</v>
      </c>
      <c r="G21" s="10">
        <f t="shared" si="1"/>
        <v>-121</v>
      </c>
      <c r="H21" s="11"/>
      <c r="I21" s="8" t="s">
        <v>18</v>
      </c>
      <c r="J21" s="10">
        <f>SUM('1_bezr.'!C21)</f>
        <v>2003</v>
      </c>
      <c r="K21" s="10">
        <f t="shared" si="3"/>
        <v>812</v>
      </c>
      <c r="L21" s="12">
        <f t="shared" si="2"/>
        <v>40.539191213180231</v>
      </c>
    </row>
    <row r="22" spans="1:13" x14ac:dyDescent="0.2">
      <c r="A22" s="3">
        <v>20</v>
      </c>
      <c r="B22" s="8" t="s">
        <v>19</v>
      </c>
      <c r="C22" s="25">
        <v>2872</v>
      </c>
      <c r="D22" s="9">
        <v>2876</v>
      </c>
      <c r="E22" s="10">
        <f t="shared" si="0"/>
        <v>-4</v>
      </c>
      <c r="F22" s="9">
        <v>3224</v>
      </c>
      <c r="G22" s="10">
        <f t="shared" si="1"/>
        <v>-352</v>
      </c>
      <c r="H22" s="11"/>
      <c r="I22" s="8" t="s">
        <v>19</v>
      </c>
      <c r="J22" s="10">
        <f>SUM('1_bezr.'!C22)</f>
        <v>3220</v>
      </c>
      <c r="K22" s="10">
        <f t="shared" si="3"/>
        <v>2872</v>
      </c>
      <c r="L22" s="12">
        <f t="shared" si="2"/>
        <v>89.192546583850927</v>
      </c>
    </row>
    <row r="23" spans="1:13" x14ac:dyDescent="0.2">
      <c r="A23" s="3">
        <v>21</v>
      </c>
      <c r="B23" s="8" t="s">
        <v>20</v>
      </c>
      <c r="C23" s="25">
        <v>1060</v>
      </c>
      <c r="D23" s="9">
        <v>1136</v>
      </c>
      <c r="E23" s="10">
        <f t="shared" si="0"/>
        <v>-76</v>
      </c>
      <c r="F23" s="9">
        <v>1327</v>
      </c>
      <c r="G23" s="10">
        <f t="shared" si="1"/>
        <v>-267</v>
      </c>
      <c r="H23" s="11"/>
      <c r="I23" s="8" t="s">
        <v>20</v>
      </c>
      <c r="J23" s="10">
        <f>SUM('1_bezr.'!C23)</f>
        <v>1311</v>
      </c>
      <c r="K23" s="10">
        <f>SUM(C23)</f>
        <v>1060</v>
      </c>
      <c r="L23" s="12">
        <f t="shared" si="2"/>
        <v>80.854309687261633</v>
      </c>
    </row>
    <row r="24" spans="1:13" ht="15" x14ac:dyDescent="0.25">
      <c r="A24" s="3">
        <v>22</v>
      </c>
      <c r="B24" s="15" t="s">
        <v>25</v>
      </c>
      <c r="C24" s="16">
        <f>SUM(C3:C23)</f>
        <v>42694</v>
      </c>
      <c r="D24" s="17">
        <f>SUM(D3:D23)</f>
        <v>42985</v>
      </c>
      <c r="E24" s="16">
        <f>SUM(E3:E23)</f>
        <v>-291</v>
      </c>
      <c r="F24" s="17">
        <f>SUM(F3:F23)</f>
        <v>49444</v>
      </c>
      <c r="G24" s="16">
        <f>SUM(G3:G23)</f>
        <v>-6750</v>
      </c>
      <c r="H24" s="11"/>
      <c r="I24" s="8" t="s">
        <v>21</v>
      </c>
      <c r="J24" s="10">
        <f>SUM('1_bezr.'!C24)</f>
        <v>741</v>
      </c>
      <c r="K24" s="18" t="s">
        <v>29</v>
      </c>
      <c r="L24" s="19" t="s">
        <v>29</v>
      </c>
    </row>
    <row r="25" spans="1:13" x14ac:dyDescent="0.2">
      <c r="I25" s="8" t="s">
        <v>22</v>
      </c>
      <c r="J25" s="10">
        <f>SUM('1_bezr.'!C25)</f>
        <v>2513</v>
      </c>
      <c r="K25" s="18" t="s">
        <v>29</v>
      </c>
      <c r="L25" s="19" t="s">
        <v>29</v>
      </c>
    </row>
    <row r="26" spans="1:13" x14ac:dyDescent="0.2">
      <c r="I26" s="8" t="s">
        <v>23</v>
      </c>
      <c r="J26" s="10">
        <f>SUM('1_bezr.'!C26)</f>
        <v>5834</v>
      </c>
      <c r="K26" s="18" t="s">
        <v>29</v>
      </c>
      <c r="L26" s="19" t="s">
        <v>29</v>
      </c>
    </row>
    <row r="27" spans="1:13" x14ac:dyDescent="0.2">
      <c r="I27" s="8" t="s">
        <v>24</v>
      </c>
      <c r="J27" s="10">
        <f>SUM('1_bezr.'!C27)</f>
        <v>1151</v>
      </c>
      <c r="K27" s="18" t="s">
        <v>29</v>
      </c>
      <c r="L27" s="19" t="s">
        <v>29</v>
      </c>
    </row>
    <row r="28" spans="1:13" ht="15" x14ac:dyDescent="0.25">
      <c r="H28" s="11"/>
      <c r="I28" s="15" t="s">
        <v>25</v>
      </c>
      <c r="J28" s="16">
        <f>SUM(J3:J27)</f>
        <v>68719</v>
      </c>
      <c r="K28" s="16">
        <f>SUM(K3:K23)</f>
        <v>42694</v>
      </c>
      <c r="L28" s="20">
        <f>SUM(K28)/J28*100</f>
        <v>62.128377886756212</v>
      </c>
    </row>
  </sheetData>
  <printOptions horizontalCentered="1" verticalCentered="1"/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1_bezr.</vt:lpstr>
      <vt:lpstr>1_sort</vt:lpstr>
      <vt:lpstr>2_kob.</vt:lpstr>
      <vt:lpstr>2_sort</vt:lpstr>
      <vt:lpstr>3_s.bezr.Polska</vt:lpstr>
      <vt:lpstr>3_sort</vt:lpstr>
      <vt:lpstr>4_s.bezr.pow.</vt:lpstr>
      <vt:lpstr>4_sort</vt:lpstr>
      <vt:lpstr>5_bezr. na wsi</vt:lpstr>
      <vt:lpstr>5_sort</vt:lpstr>
      <vt:lpstr>6_długot.</vt:lpstr>
      <vt:lpstr>6_sort</vt:lpstr>
      <vt:lpstr>7_do 30 r.ż.</vt:lpstr>
      <vt:lpstr>7_sort</vt:lpstr>
      <vt:lpstr>8_pow. 50 r.ż.</vt:lpstr>
      <vt:lpstr>8_sort</vt:lpstr>
      <vt:lpstr>9_oferty p.</vt:lpstr>
      <vt:lpstr>9_sort</vt:lpstr>
      <vt:lpstr>10_oferty s.</vt:lpstr>
      <vt:lpstr>10_sort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2022-05-12T06:48:49Z</cp:lastPrinted>
  <dcterms:created xsi:type="dcterms:W3CDTF">2016-08-02T05:46:03Z</dcterms:created>
  <dcterms:modified xsi:type="dcterms:W3CDTF">2022-08-24T11:16:18Z</dcterms:modified>
</cp:coreProperties>
</file>